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ubchenko.anna\Desktop\525\ДЕР\фін.плани охорони здоровя 2020 рік\Новая папка\"/>
    </mc:Choice>
  </mc:AlternateContent>
  <bookViews>
    <workbookView xWindow="0" yWindow="0" windowWidth="28800" windowHeight="11835" tabRatio="823"/>
  </bookViews>
  <sheets>
    <sheet name="Фінплан - зведені показники" sheetId="14" r:id="rId1"/>
    <sheet name="1.Фінансовий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5. Інша інформація" sheetId="10" r:id="rId6"/>
    <sheet name="5. Інша інформація (2)" sheetId="2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XGRAPH3" localSheetId="6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6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6">#REF!</definedName>
    <definedName name="Cost_Category_National_ID">#REF!</definedName>
    <definedName name="Cе511" localSheetId="6">#REF!</definedName>
    <definedName name="Cе511">#REF!</definedName>
    <definedName name="d">'[9]МТР Газ України'!$B$4</definedName>
    <definedName name="dCPIb" localSheetId="6">[10]попер_роз!#REF!</definedName>
    <definedName name="dCPIb">[10]попер_роз!#REF!</definedName>
    <definedName name="dPPIb" localSheetId="6">[10]попер_роз!#REF!</definedName>
    <definedName name="dPPIb">[10]попер_роз!#REF!</definedName>
    <definedName name="ds" localSheetId="6">'[11]7  Інші витрати'!#REF!</definedName>
    <definedName name="ds">'[11]7  Інші витрати'!#REF!</definedName>
    <definedName name="Fact_Type_ID" localSheetId="6">#REF!</definedName>
    <definedName name="Fact_Type_ID">#REF!</definedName>
    <definedName name="G">'[12]МТР Газ України'!$B$1</definedName>
    <definedName name="ij1sssss" localSheetId="6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6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6">[14]!ShowFil</definedName>
    <definedName name="ShowFil">[14]!ShowFil</definedName>
    <definedName name="SU_ID" localSheetId="6">#REF!</definedName>
    <definedName name="SU_ID">#REF!</definedName>
    <definedName name="Time_ID">'[16]МТР Газ України'!$B$1</definedName>
    <definedName name="Time_ID_10" localSheetId="6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6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6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6">#REF!</definedName>
    <definedName name="yyyy">#REF!</definedName>
    <definedName name="zx">'[4]МТР Газ України'!$F$1</definedName>
    <definedName name="zxc">[5]Inform!$E$38</definedName>
    <definedName name="а" localSheetId="6">'[13]7  Інші витрати'!#REF!</definedName>
    <definedName name="а">'[13]7  Інші витрати'!#REF!</definedName>
    <definedName name="ав" localSheetId="6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6">'[27]БАЗА  '!#REF!</definedName>
    <definedName name="ватт">'[27]БАЗА  '!#REF!</definedName>
    <definedName name="Д">'[15]МТР Газ України'!$B$4</definedName>
    <definedName name="е" localSheetId="6">#REF!</definedName>
    <definedName name="е">#REF!</definedName>
    <definedName name="є" localSheetId="6">#REF!</definedName>
    <definedName name="є">#REF!</definedName>
    <definedName name="_xlnm.Print_Titles" localSheetId="1">'1.Фінансовий результат'!$8:$8</definedName>
    <definedName name="_xlnm.Print_Titles" localSheetId="2">'2. Розрахунки з бюджетом'!$8:$8</definedName>
    <definedName name="_xlnm.Print_Titles" localSheetId="3">'3. Рух грошових коштів'!$8:$8</definedName>
    <definedName name="_xlnm.Print_Titles" localSheetId="0">'Фінплан - зведені показники'!$14:$14</definedName>
    <definedName name="Заголовки_для_печати_МИ">'[28]1993'!$A$1:$IV$3,'[28]1993'!$A$1:$A$65536</definedName>
    <definedName name="і">[29]Inform!$F$2</definedName>
    <definedName name="ів" localSheetId="6">#REF!</definedName>
    <definedName name="ів">#REF!</definedName>
    <definedName name="ів___0" localSheetId="6">#REF!</definedName>
    <definedName name="ів___0">#REF!</definedName>
    <definedName name="ів_22" localSheetId="6">#REF!</definedName>
    <definedName name="ів_22">#REF!</definedName>
    <definedName name="ів_26" localSheetId="6">#REF!</definedName>
    <definedName name="ів_26">#REF!</definedName>
    <definedName name="іваіа" localSheetId="6">'[30]7  Інші витрати'!#REF!</definedName>
    <definedName name="іваіа">'[30]7  Інші витрати'!#REF!</definedName>
    <definedName name="іваф" localSheetId="6">#REF!</definedName>
    <definedName name="іваф">#REF!</definedName>
    <definedName name="івів">'[12]МТР Газ України'!$B$1</definedName>
    <definedName name="іцу">[23]Inform!$G$2</definedName>
    <definedName name="йуц" localSheetId="6">#REF!</definedName>
    <definedName name="йуц">#REF!</definedName>
    <definedName name="йцу" localSheetId="6">#REF!</definedName>
    <definedName name="йцу">#REF!</definedName>
    <definedName name="йцуйй" localSheetId="6">#REF!</definedName>
    <definedName name="йцуйй">#REF!</definedName>
    <definedName name="йцукц" localSheetId="6">'[30]7  Інші витрати'!#REF!</definedName>
    <definedName name="йцукц">'[30]7  Інші витрати'!#REF!</definedName>
    <definedName name="КЕ" localSheetId="6">#REF!</definedName>
    <definedName name="КЕ">#REF!</definedName>
    <definedName name="КЕ___0" localSheetId="6">#REF!</definedName>
    <definedName name="КЕ___0">#REF!</definedName>
    <definedName name="КЕ_22" localSheetId="6">#REF!</definedName>
    <definedName name="КЕ_22">#REF!</definedName>
    <definedName name="КЕ_26" localSheetId="6">#REF!</definedName>
    <definedName name="КЕ_26">#REF!</definedName>
    <definedName name="кен" localSheetId="6">#REF!</definedName>
    <definedName name="кен">#REF!</definedName>
    <definedName name="л" localSheetId="6">#REF!</definedName>
    <definedName name="л">#REF!</definedName>
    <definedName name="_xlnm.Print_Area" localSheetId="3">'3. Рух грошових коштів'!$A:$K</definedName>
    <definedName name="_xlnm.Print_Area" localSheetId="4">'4. Кап. інвестиції'!$A:$AP</definedName>
    <definedName name="_xlnm.Print_Area" localSheetId="0">'Фінплан - зведені показники'!$A$1:$J$52</definedName>
    <definedName name="п" localSheetId="6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6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6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6">#REF!</definedName>
    <definedName name="р">#REF!</definedName>
    <definedName name="т">[32]Inform!$E$6</definedName>
    <definedName name="тариф">[33]Inform!$G$2</definedName>
    <definedName name="уйцукйцуйу" localSheetId="6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6">'[30]7  Інші витрати'!#REF!</definedName>
    <definedName name="фіваіф">'[30]7  Інші витрати'!#REF!</definedName>
    <definedName name="фф">'[26]МТР Газ України'!$F$1</definedName>
    <definedName name="ц" localSheetId="6">'[13]7  Інші витрати'!#REF!</definedName>
    <definedName name="ц">'[13]7  Інші витрати'!#REF!</definedName>
    <definedName name="ччч" localSheetId="6">'[35]БАЗА  '!#REF!</definedName>
    <definedName name="ччч">'[35]БАЗА  '!#REF!</definedName>
    <definedName name="ш" localSheetId="6">#REF!</definedName>
    <definedName name="ш">#REF!</definedName>
  </definedNames>
  <calcPr calcId="152511"/>
</workbook>
</file>

<file path=xl/calcChain.xml><?xml version="1.0" encoding="utf-8"?>
<calcChain xmlns="http://schemas.openxmlformats.org/spreadsheetml/2006/main">
  <c r="AA123" i="20" l="1"/>
  <c r="Z123" i="20"/>
  <c r="Y123" i="20"/>
  <c r="X123" i="20"/>
  <c r="T123" i="20"/>
  <c r="S123" i="20"/>
  <c r="R123" i="20"/>
  <c r="Q123" i="20"/>
  <c r="N123" i="20"/>
  <c r="M123" i="20"/>
  <c r="AF122" i="20"/>
  <c r="AE122" i="20"/>
  <c r="AD122" i="20"/>
  <c r="AC122" i="20"/>
  <c r="U122" i="20"/>
  <c r="O122" i="20"/>
  <c r="J122" i="20"/>
  <c r="E122" i="20"/>
  <c r="AF121" i="20"/>
  <c r="U121" i="20"/>
  <c r="O121" i="20"/>
  <c r="M121" i="20"/>
  <c r="AE121" i="20" s="1"/>
  <c r="L121" i="20"/>
  <c r="L123" i="20" s="1"/>
  <c r="K121" i="20"/>
  <c r="AC121" i="20" s="1"/>
  <c r="E121" i="20"/>
  <c r="AF120" i="20"/>
  <c r="AE120" i="20"/>
  <c r="AD120" i="20"/>
  <c r="AC120" i="20"/>
  <c r="U120" i="20"/>
  <c r="O120" i="20"/>
  <c r="J120" i="20"/>
  <c r="E120" i="20"/>
  <c r="AF119" i="20"/>
  <c r="AE119" i="20"/>
  <c r="AD119" i="20"/>
  <c r="AC119" i="20"/>
  <c r="U119" i="20"/>
  <c r="O119" i="20"/>
  <c r="O123" i="20" s="1"/>
  <c r="J119" i="20"/>
  <c r="E119" i="20"/>
  <c r="H109" i="20"/>
  <c r="H108" i="20"/>
  <c r="H107" i="20"/>
  <c r="H106" i="20"/>
  <c r="G97" i="20"/>
  <c r="G96" i="20"/>
  <c r="G95" i="20"/>
  <c r="G94" i="20"/>
  <c r="F61" i="20"/>
  <c r="D61" i="20"/>
  <c r="F59" i="20"/>
  <c r="D59" i="20"/>
  <c r="F56" i="20"/>
  <c r="D56" i="20"/>
  <c r="F54" i="20"/>
  <c r="H51" i="20"/>
  <c r="H62" i="20" s="1"/>
  <c r="F51" i="20"/>
  <c r="D51" i="20"/>
  <c r="F50" i="20"/>
  <c r="D50" i="20"/>
  <c r="D49" i="20"/>
  <c r="D48" i="20"/>
  <c r="D47" i="20"/>
  <c r="D46" i="20"/>
  <c r="F45" i="20"/>
  <c r="F62" i="20" s="1"/>
  <c r="D45" i="20"/>
  <c r="H36" i="20"/>
  <c r="F36" i="20"/>
  <c r="H35" i="20"/>
  <c r="F35" i="20"/>
  <c r="H34" i="20"/>
  <c r="F34" i="20"/>
  <c r="H33" i="20"/>
  <c r="F33" i="20"/>
  <c r="E31" i="20"/>
  <c r="D31" i="20"/>
  <c r="B31" i="20"/>
  <c r="D30" i="20"/>
  <c r="B30" i="20"/>
  <c r="E28" i="20"/>
  <c r="D28" i="20"/>
  <c r="E27" i="20"/>
  <c r="D27" i="20"/>
  <c r="B27" i="20"/>
  <c r="D26" i="20"/>
  <c r="D25" i="20" s="1"/>
  <c r="B26" i="20"/>
  <c r="F24" i="20"/>
  <c r="B24" i="20"/>
  <c r="H24" i="20" s="1"/>
  <c r="H23" i="20"/>
  <c r="F23" i="20"/>
  <c r="C23" i="20"/>
  <c r="C31" i="20" s="1"/>
  <c r="E22" i="20"/>
  <c r="E30" i="20" s="1"/>
  <c r="C22" i="20"/>
  <c r="C30" i="20" s="1"/>
  <c r="D21" i="20"/>
  <c r="B21" i="20"/>
  <c r="H20" i="20"/>
  <c r="F20" i="20"/>
  <c r="H19" i="20"/>
  <c r="F19" i="20"/>
  <c r="H18" i="20"/>
  <c r="F18" i="20"/>
  <c r="D17" i="20"/>
  <c r="F17" i="20" s="1"/>
  <c r="B17" i="20"/>
  <c r="H17" i="20" s="1"/>
  <c r="D16" i="20"/>
  <c r="F16" i="20" s="1"/>
  <c r="B16" i="20"/>
  <c r="H16" i="20" s="1"/>
  <c r="D15" i="20"/>
  <c r="F15" i="20" s="1"/>
  <c r="B15" i="20"/>
  <c r="H15" i="20" s="1"/>
  <c r="E14" i="20"/>
  <c r="E32" i="20" s="1"/>
  <c r="C14" i="20"/>
  <c r="E69" i="18"/>
  <c r="D69" i="18"/>
  <c r="C69" i="18"/>
  <c r="G35" i="2"/>
  <c r="D46" i="10"/>
  <c r="U123" i="20" l="1"/>
  <c r="B14" i="20"/>
  <c r="D14" i="20"/>
  <c r="D32" i="20" s="1"/>
  <c r="E21" i="20"/>
  <c r="E29" i="20" s="1"/>
  <c r="H31" i="20"/>
  <c r="G98" i="20"/>
  <c r="H110" i="20"/>
  <c r="AB119" i="20"/>
  <c r="AB120" i="20"/>
  <c r="AB122" i="20"/>
  <c r="K123" i="20"/>
  <c r="AC123" i="20" s="1"/>
  <c r="B29" i="20"/>
  <c r="H29" i="20" s="1"/>
  <c r="H27" i="20"/>
  <c r="D62" i="20"/>
  <c r="B61" i="20" s="1"/>
  <c r="J123" i="20"/>
  <c r="J121" i="20"/>
  <c r="AB121" i="20" s="1"/>
  <c r="H30" i="20"/>
  <c r="F30" i="20"/>
  <c r="C60" i="20"/>
  <c r="C61" i="20"/>
  <c r="F32" i="20"/>
  <c r="B58" i="20"/>
  <c r="B57" i="20"/>
  <c r="B60" i="20"/>
  <c r="B56" i="20"/>
  <c r="B53" i="20"/>
  <c r="B52" i="20"/>
  <c r="B47" i="20"/>
  <c r="B45" i="20"/>
  <c r="AD123" i="20"/>
  <c r="H14" i="20"/>
  <c r="H21" i="20"/>
  <c r="H22" i="20"/>
  <c r="F27" i="20"/>
  <c r="B28" i="20"/>
  <c r="B25" i="20" s="1"/>
  <c r="F28" i="20"/>
  <c r="F31" i="20"/>
  <c r="B32" i="20"/>
  <c r="H32" i="20" s="1"/>
  <c r="AD121" i="20"/>
  <c r="E123" i="20"/>
  <c r="AB123" i="20" s="1"/>
  <c r="AF123" i="20"/>
  <c r="F21" i="20"/>
  <c r="F22" i="20"/>
  <c r="C24" i="20"/>
  <c r="C26" i="20"/>
  <c r="E26" i="20"/>
  <c r="C27" i="20"/>
  <c r="AE123" i="20"/>
  <c r="B28" i="10"/>
  <c r="B27" i="10"/>
  <c r="B26" i="10"/>
  <c r="B24" i="10"/>
  <c r="AE124" i="20" l="1"/>
  <c r="F14" i="20"/>
  <c r="B49" i="20"/>
  <c r="B54" i="20"/>
  <c r="B48" i="20"/>
  <c r="B59" i="20"/>
  <c r="B51" i="20"/>
  <c r="B62" i="20" s="1"/>
  <c r="B55" i="20"/>
  <c r="B50" i="20"/>
  <c r="D29" i="20"/>
  <c r="F29" i="20" s="1"/>
  <c r="G124" i="20"/>
  <c r="AA124" i="20"/>
  <c r="Y124" i="20"/>
  <c r="S124" i="20"/>
  <c r="Q124" i="20"/>
  <c r="N124" i="20"/>
  <c r="H26" i="20"/>
  <c r="E25" i="20"/>
  <c r="F26" i="20"/>
  <c r="C32" i="20"/>
  <c r="C28" i="20"/>
  <c r="C21" i="20"/>
  <c r="C29" i="20" s="1"/>
  <c r="C25" i="20"/>
  <c r="X124" i="20"/>
  <c r="U124" i="20"/>
  <c r="T124" i="20"/>
  <c r="K124" i="20"/>
  <c r="AD124" i="20"/>
  <c r="AC124" i="20"/>
  <c r="AF124" i="20"/>
  <c r="Z124" i="20"/>
  <c r="M124" i="20"/>
  <c r="J124" i="20"/>
  <c r="H28" i="20"/>
  <c r="R124" i="20"/>
  <c r="O124" i="20"/>
  <c r="L124" i="20"/>
  <c r="C14" i="2"/>
  <c r="H25" i="20" l="1"/>
  <c r="F25" i="20"/>
  <c r="C16" i="2"/>
  <c r="J35" i="2" l="1"/>
  <c r="F82" i="2" l="1"/>
  <c r="F83" i="2"/>
  <c r="F38" i="2"/>
  <c r="F145" i="2" s="1"/>
  <c r="F39" i="2"/>
  <c r="F146" i="2" s="1"/>
  <c r="AI98" i="2" l="1"/>
  <c r="AH98" i="2"/>
  <c r="AI95" i="2"/>
  <c r="AH95" i="2"/>
  <c r="AG100" i="2"/>
  <c r="E35" i="2"/>
  <c r="E144" i="2"/>
  <c r="F37" i="2"/>
  <c r="E28" i="10"/>
  <c r="E27" i="10"/>
  <c r="E22" i="10"/>
  <c r="E26" i="10" s="1"/>
  <c r="D28" i="10"/>
  <c r="D27" i="10"/>
  <c r="D26" i="10"/>
  <c r="AC35" i="2"/>
  <c r="AI99" i="2" l="1"/>
  <c r="AH99" i="2"/>
  <c r="F50" i="10" l="1"/>
  <c r="F45" i="10"/>
  <c r="L121" i="10"/>
  <c r="M121" i="10"/>
  <c r="K121" i="10"/>
  <c r="G17" i="3"/>
  <c r="G22" i="19"/>
  <c r="H22" i="19"/>
  <c r="I22" i="19"/>
  <c r="J22" i="19"/>
  <c r="AJ82" i="2"/>
  <c r="AH82" i="2"/>
  <c r="E125" i="2"/>
  <c r="E22" i="19" s="1"/>
  <c r="AG141" i="2"/>
  <c r="AG147" i="2"/>
  <c r="E50" i="2"/>
  <c r="AG89" i="2"/>
  <c r="AH90" i="2" s="1"/>
  <c r="AG86" i="2"/>
  <c r="AH87" i="2" s="1"/>
  <c r="AI87" i="2" l="1"/>
  <c r="AI90" i="2"/>
  <c r="AG91" i="2"/>
  <c r="AG84" i="2"/>
  <c r="AH83" i="2" s="1"/>
  <c r="AK83" i="2"/>
  <c r="D14" i="2"/>
  <c r="M22" i="19"/>
  <c r="L22" i="19"/>
  <c r="AI84" i="2" l="1"/>
  <c r="AK82" i="2"/>
  <c r="AK84" i="2" s="1"/>
  <c r="AH84" i="2"/>
  <c r="N22" i="19"/>
  <c r="AL82" i="2" l="1"/>
  <c r="AK86" i="2" s="1"/>
  <c r="AJ83" i="2"/>
  <c r="AL83" i="2" s="1"/>
  <c r="AK89" i="2" s="1"/>
  <c r="E15" i="3"/>
  <c r="E14" i="3"/>
  <c r="E18" i="3"/>
  <c r="E17" i="3" s="1"/>
  <c r="AK91" i="2" l="1"/>
  <c r="AL89" i="2"/>
  <c r="AC39" i="2" s="1"/>
  <c r="AM89" i="2"/>
  <c r="AC83" i="2" s="1"/>
  <c r="AM86" i="2"/>
  <c r="AO86" i="2"/>
  <c r="AL86" i="2"/>
  <c r="AM82" i="2"/>
  <c r="AJ84" i="2"/>
  <c r="F67" i="2"/>
  <c r="F68" i="2"/>
  <c r="F66" i="2"/>
  <c r="AL87" i="2" l="1"/>
  <c r="AC38" i="2"/>
  <c r="AM87" i="2"/>
  <c r="AC82" i="2"/>
  <c r="AL84" i="2"/>
  <c r="AM83" i="2"/>
  <c r="AO82" i="2" s="1"/>
  <c r="Z118" i="2"/>
  <c r="Z117" i="2" s="1"/>
  <c r="Z112" i="2" s="1"/>
  <c r="Z105" i="2"/>
  <c r="Z97" i="2"/>
  <c r="Z96" i="2" s="1"/>
  <c r="Z74" i="2" s="1"/>
  <c r="Z70" i="2"/>
  <c r="Z48" i="2"/>
  <c r="Z43" i="2"/>
  <c r="Z16" i="2"/>
  <c r="Z14" i="2"/>
  <c r="Z12" i="2"/>
  <c r="Z42" i="2" l="1"/>
  <c r="Z34" i="2" s="1"/>
  <c r="Z10" i="2"/>
  <c r="Z33" i="2" s="1"/>
  <c r="Z69" i="2" l="1"/>
  <c r="Z129" i="2" s="1"/>
  <c r="Z134" i="2" s="1"/>
  <c r="Z137" i="2" s="1"/>
  <c r="AC101" i="2"/>
  <c r="AC100" i="2"/>
  <c r="AC99" i="2"/>
  <c r="AC48" i="2" l="1"/>
  <c r="AC148" i="2" s="1"/>
  <c r="AC46" i="2"/>
  <c r="AC45" i="2"/>
  <c r="AC37" i="2"/>
  <c r="AC15" i="2"/>
  <c r="AC14" i="2" s="1"/>
  <c r="AC118" i="2"/>
  <c r="AC105" i="2"/>
  <c r="AC97" i="2"/>
  <c r="AC96" i="2" s="1"/>
  <c r="AC74" i="2" s="1"/>
  <c r="AC70" i="2"/>
  <c r="AC16" i="2"/>
  <c r="AC12" i="2"/>
  <c r="AC146" i="2"/>
  <c r="AC145" i="2"/>
  <c r="AC143" i="2"/>
  <c r="AB10" i="2"/>
  <c r="AX32" i="2"/>
  <c r="AW32" i="2"/>
  <c r="AV32" i="2"/>
  <c r="AS32" i="2"/>
  <c r="AR32" i="2"/>
  <c r="AQ32" i="2"/>
  <c r="AX28" i="2"/>
  <c r="AK69" i="2"/>
  <c r="AK68" i="2"/>
  <c r="AK67" i="2"/>
  <c r="AK66" i="2"/>
  <c r="AK65" i="2"/>
  <c r="AC144" i="2" l="1"/>
  <c r="AC142" i="2" s="1"/>
  <c r="AC117" i="2"/>
  <c r="AC112" i="2" s="1"/>
  <c r="AC43" i="2"/>
  <c r="AC42" i="2" s="1"/>
  <c r="AC34" i="2" s="1"/>
  <c r="AC10" i="2"/>
  <c r="AC33" i="2" s="1"/>
  <c r="AC149" i="2"/>
  <c r="E33" i="18"/>
  <c r="H51" i="10"/>
  <c r="AC140" i="2" l="1"/>
  <c r="AC69" i="2"/>
  <c r="AC139" i="2"/>
  <c r="D45" i="10"/>
  <c r="B17" i="10"/>
  <c r="B16" i="10"/>
  <c r="B15" i="10"/>
  <c r="AC129" i="2" l="1"/>
  <c r="AC134" i="2" s="1"/>
  <c r="AC137" i="2" s="1"/>
  <c r="D17" i="10"/>
  <c r="D16" i="10"/>
  <c r="D15" i="10"/>
  <c r="F22" i="10" l="1"/>
  <c r="F23" i="10"/>
  <c r="F24" i="10"/>
  <c r="F27" i="10"/>
  <c r="F26" i="10"/>
  <c r="C23" i="10" l="1"/>
  <c r="C27" i="10" s="1"/>
  <c r="C22" i="10"/>
  <c r="C24" i="10" l="1"/>
  <c r="C28" i="10" s="1"/>
  <c r="C26" i="10"/>
  <c r="AG18" i="3"/>
  <c r="AF18" i="3"/>
  <c r="AE18" i="3"/>
  <c r="AI70" i="2" l="1"/>
  <c r="AI69" i="2"/>
  <c r="AI68" i="2"/>
  <c r="AI67" i="2"/>
  <c r="AI66" i="2"/>
  <c r="AI65" i="2"/>
  <c r="AI64" i="2"/>
  <c r="I35" i="2"/>
  <c r="H35" i="2"/>
  <c r="P37" i="2" l="1"/>
  <c r="V11" i="2"/>
  <c r="V13" i="2"/>
  <c r="V17" i="2"/>
  <c r="V18" i="2"/>
  <c r="V19" i="2"/>
  <c r="V20" i="2"/>
  <c r="V21" i="2"/>
  <c r="V22" i="2"/>
  <c r="V23" i="2"/>
  <c r="V25" i="2"/>
  <c r="V26" i="2"/>
  <c r="V27" i="2"/>
  <c r="V28" i="2"/>
  <c r="V29" i="2"/>
  <c r="V30" i="2"/>
  <c r="V31" i="2"/>
  <c r="V32" i="2"/>
  <c r="V36" i="2"/>
  <c r="V37" i="2"/>
  <c r="V38" i="2"/>
  <c r="V39" i="2"/>
  <c r="V40" i="2"/>
  <c r="V41" i="2"/>
  <c r="V44" i="2"/>
  <c r="V45" i="2"/>
  <c r="V46" i="2"/>
  <c r="V47" i="2"/>
  <c r="V49" i="2"/>
  <c r="V50" i="2"/>
  <c r="V51" i="2"/>
  <c r="V52" i="2"/>
  <c r="V54" i="2"/>
  <c r="V55" i="2"/>
  <c r="V56" i="2"/>
  <c r="V57" i="2"/>
  <c r="V58" i="2"/>
  <c r="V61" i="2"/>
  <c r="V63" i="2"/>
  <c r="V64" i="2"/>
  <c r="V66" i="2"/>
  <c r="V67" i="2"/>
  <c r="V68" i="2"/>
  <c r="V72" i="2"/>
  <c r="V73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3" i="2"/>
  <c r="V114" i="2"/>
  <c r="V115" i="2"/>
  <c r="V116" i="2"/>
  <c r="V119" i="2"/>
  <c r="V120" i="2"/>
  <c r="V121" i="2"/>
  <c r="V122" i="2"/>
  <c r="V123" i="2"/>
  <c r="V124" i="2"/>
  <c r="V126" i="2"/>
  <c r="V130" i="2"/>
  <c r="V131" i="2"/>
  <c r="V132" i="2"/>
  <c r="V133" i="2"/>
  <c r="V135" i="2"/>
  <c r="V136" i="2"/>
  <c r="V138" i="2"/>
  <c r="V141" i="2"/>
  <c r="V147" i="2"/>
  <c r="P11" i="2"/>
  <c r="P13" i="2"/>
  <c r="P17" i="2"/>
  <c r="P18" i="2"/>
  <c r="P19" i="2"/>
  <c r="P20" i="2"/>
  <c r="P21" i="2"/>
  <c r="P22" i="2"/>
  <c r="P23" i="2"/>
  <c r="P25" i="2"/>
  <c r="P26" i="2"/>
  <c r="P27" i="2"/>
  <c r="P28" i="2"/>
  <c r="P29" i="2"/>
  <c r="P30" i="2"/>
  <c r="P31" i="2"/>
  <c r="P32" i="2"/>
  <c r="P36" i="2"/>
  <c r="P40" i="2"/>
  <c r="P41" i="2"/>
  <c r="P44" i="2"/>
  <c r="P46" i="2"/>
  <c r="P47" i="2"/>
  <c r="P49" i="2"/>
  <c r="P50" i="2"/>
  <c r="P51" i="2"/>
  <c r="P52" i="2"/>
  <c r="P54" i="2"/>
  <c r="P55" i="2"/>
  <c r="P56" i="2"/>
  <c r="P57" i="2"/>
  <c r="P58" i="2"/>
  <c r="P61" i="2"/>
  <c r="P63" i="2"/>
  <c r="P64" i="2"/>
  <c r="P66" i="2"/>
  <c r="P67" i="2"/>
  <c r="P68" i="2"/>
  <c r="P72" i="2"/>
  <c r="P73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3" i="2"/>
  <c r="P114" i="2"/>
  <c r="P115" i="2"/>
  <c r="P116" i="2"/>
  <c r="P119" i="2"/>
  <c r="P120" i="2"/>
  <c r="P121" i="2"/>
  <c r="P122" i="2"/>
  <c r="P123" i="2"/>
  <c r="P124" i="2"/>
  <c r="P125" i="2"/>
  <c r="P126" i="2"/>
  <c r="P130" i="2"/>
  <c r="P131" i="2"/>
  <c r="P132" i="2"/>
  <c r="P133" i="2"/>
  <c r="P135" i="2"/>
  <c r="P136" i="2"/>
  <c r="P138" i="2"/>
  <c r="P141" i="2"/>
  <c r="P147" i="2"/>
  <c r="AX24" i="2"/>
  <c r="AW24" i="2"/>
  <c r="AV24" i="2"/>
  <c r="AS24" i="2"/>
  <c r="AR24" i="2"/>
  <c r="AQ24" i="2"/>
  <c r="AX20" i="2"/>
  <c r="AA146" i="2"/>
  <c r="Y146" i="2"/>
  <c r="AA145" i="2"/>
  <c r="Y145" i="2"/>
  <c r="AA144" i="2"/>
  <c r="Y144" i="2"/>
  <c r="Y143" i="2"/>
  <c r="AA125" i="2"/>
  <c r="V125" i="2" s="1"/>
  <c r="AA118" i="2"/>
  <c r="Y118" i="2"/>
  <c r="Y117" i="2" s="1"/>
  <c r="Y112" i="2" s="1"/>
  <c r="AA97" i="2"/>
  <c r="Y97" i="2"/>
  <c r="Y96" i="2" s="1"/>
  <c r="Y74" i="2" s="1"/>
  <c r="AA70" i="2"/>
  <c r="Y70" i="2"/>
  <c r="AA48" i="2"/>
  <c r="Y48" i="2"/>
  <c r="Y148" i="2" s="1"/>
  <c r="AA43" i="2"/>
  <c r="Y43" i="2"/>
  <c r="AA35" i="2"/>
  <c r="AA143" i="2" s="1"/>
  <c r="AA24" i="2"/>
  <c r="Y24" i="2"/>
  <c r="AA16" i="2"/>
  <c r="AA14" i="2" s="1"/>
  <c r="Y16" i="2"/>
  <c r="Y14" i="2" s="1"/>
  <c r="AA12" i="2"/>
  <c r="Y12" i="2"/>
  <c r="AA42" i="2" l="1"/>
  <c r="AA10" i="2"/>
  <c r="AA33" i="2"/>
  <c r="AA139" i="2" s="1"/>
  <c r="Y10" i="2"/>
  <c r="Y33" i="2"/>
  <c r="Y139" i="2" s="1"/>
  <c r="AA96" i="2"/>
  <c r="Y42" i="2"/>
  <c r="Y34" i="2" s="1"/>
  <c r="Y69" i="2" s="1"/>
  <c r="Y129" i="2" s="1"/>
  <c r="Y134" i="2" s="1"/>
  <c r="Y137" i="2" s="1"/>
  <c r="AA117" i="2"/>
  <c r="AA148" i="2"/>
  <c r="Y149" i="2"/>
  <c r="Y142" i="2"/>
  <c r="AA142" i="2"/>
  <c r="AA34" i="2"/>
  <c r="Y140" i="2" l="1"/>
  <c r="AA74" i="2"/>
  <c r="AA149" i="2"/>
  <c r="AA112" i="2"/>
  <c r="AA69" i="2"/>
  <c r="AA140" i="2" l="1"/>
  <c r="AA129" i="2"/>
  <c r="AA134" i="2" l="1"/>
  <c r="AA137" i="2" l="1"/>
  <c r="T146" i="2" l="1"/>
  <c r="V146" i="2" s="1"/>
  <c r="S146" i="2"/>
  <c r="T145" i="2"/>
  <c r="V145" i="2" s="1"/>
  <c r="S145" i="2"/>
  <c r="T144" i="2"/>
  <c r="V144" i="2" s="1"/>
  <c r="S144" i="2"/>
  <c r="S143" i="2"/>
  <c r="T118" i="2"/>
  <c r="V118" i="2" s="1"/>
  <c r="S118" i="2"/>
  <c r="S117" i="2" s="1"/>
  <c r="S112" i="2" s="1"/>
  <c r="T97" i="2"/>
  <c r="V97" i="2" s="1"/>
  <c r="S97" i="2"/>
  <c r="S96" i="2" s="1"/>
  <c r="S74" i="2" s="1"/>
  <c r="T71" i="2"/>
  <c r="V71" i="2" s="1"/>
  <c r="S70" i="2"/>
  <c r="T65" i="2"/>
  <c r="V65" i="2" s="1"/>
  <c r="T62" i="2"/>
  <c r="V62" i="2" s="1"/>
  <c r="T60" i="2"/>
  <c r="V60" i="2" s="1"/>
  <c r="T59" i="2"/>
  <c r="V59" i="2" s="1"/>
  <c r="T53" i="2"/>
  <c r="V53" i="2" s="1"/>
  <c r="S48" i="2"/>
  <c r="S148" i="2" s="1"/>
  <c r="T43" i="2"/>
  <c r="V43" i="2" s="1"/>
  <c r="S43" i="2"/>
  <c r="T35" i="2"/>
  <c r="V35" i="2" s="1"/>
  <c r="T24" i="2"/>
  <c r="V24" i="2" s="1"/>
  <c r="S24" i="2"/>
  <c r="T16" i="2"/>
  <c r="V16" i="2" s="1"/>
  <c r="S16" i="2"/>
  <c r="S14" i="2" s="1"/>
  <c r="T15" i="2"/>
  <c r="V15" i="2" s="1"/>
  <c r="T12" i="2"/>
  <c r="V12" i="2" s="1"/>
  <c r="S12" i="2"/>
  <c r="S42" i="2" l="1"/>
  <c r="S34" i="2" s="1"/>
  <c r="T117" i="2"/>
  <c r="T112" i="2" s="1"/>
  <c r="V112" i="2" s="1"/>
  <c r="T96" i="2"/>
  <c r="S142" i="2"/>
  <c r="V117" i="2"/>
  <c r="T48" i="2"/>
  <c r="P15" i="2"/>
  <c r="P62" i="2"/>
  <c r="P53" i="2"/>
  <c r="P65" i="2"/>
  <c r="T70" i="2"/>
  <c r="V70" i="2" s="1"/>
  <c r="T14" i="2"/>
  <c r="V14" i="2" s="1"/>
  <c r="S140" i="2"/>
  <c r="S10" i="2"/>
  <c r="S33" i="2"/>
  <c r="S149" i="2"/>
  <c r="T143" i="2"/>
  <c r="V143" i="2" s="1"/>
  <c r="V96" i="2" l="1"/>
  <c r="T74" i="2"/>
  <c r="V74" i="2" s="1"/>
  <c r="V48" i="2"/>
  <c r="T42" i="2"/>
  <c r="T148" i="2"/>
  <c r="V148" i="2" s="1"/>
  <c r="T10" i="2"/>
  <c r="T33" i="2"/>
  <c r="V33" i="2" s="1"/>
  <c r="S139" i="2"/>
  <c r="S69" i="2"/>
  <c r="S129" i="2" s="1"/>
  <c r="S134" i="2" s="1"/>
  <c r="S137" i="2" s="1"/>
  <c r="T149" i="2"/>
  <c r="V149" i="2" s="1"/>
  <c r="T142" i="2"/>
  <c r="V142" i="2" s="1"/>
  <c r="V42" i="2" l="1"/>
  <c r="T34" i="2"/>
  <c r="V10" i="2"/>
  <c r="T69" i="2"/>
  <c r="V69" i="2" s="1"/>
  <c r="T139" i="2"/>
  <c r="V139" i="2" s="1"/>
  <c r="V34" i="2" l="1"/>
  <c r="T140" i="2"/>
  <c r="V140" i="2" s="1"/>
  <c r="T129" i="2"/>
  <c r="V129" i="2" s="1"/>
  <c r="T134" i="2" l="1"/>
  <c r="V134" i="2" s="1"/>
  <c r="T137" i="2" l="1"/>
  <c r="V137" i="2" s="1"/>
  <c r="M146" i="2" l="1"/>
  <c r="M145" i="2"/>
  <c r="M144" i="2"/>
  <c r="M143" i="2"/>
  <c r="N118" i="2"/>
  <c r="P118" i="2" s="1"/>
  <c r="M118" i="2"/>
  <c r="N117" i="2"/>
  <c r="P117" i="2" s="1"/>
  <c r="M117" i="2"/>
  <c r="M112" i="2" s="1"/>
  <c r="N97" i="2"/>
  <c r="P97" i="2" s="1"/>
  <c r="M97" i="2"/>
  <c r="M96" i="2" s="1"/>
  <c r="M74" i="2" s="1"/>
  <c r="N96" i="2"/>
  <c r="P96" i="2" s="1"/>
  <c r="N71" i="2"/>
  <c r="P71" i="2" s="1"/>
  <c r="M70" i="2"/>
  <c r="N60" i="2"/>
  <c r="P60" i="2" s="1"/>
  <c r="N59" i="2"/>
  <c r="P59" i="2" s="1"/>
  <c r="M48" i="2"/>
  <c r="M148" i="2" s="1"/>
  <c r="N45" i="2"/>
  <c r="P45" i="2" s="1"/>
  <c r="M43" i="2"/>
  <c r="N39" i="2"/>
  <c r="P39" i="2" s="1"/>
  <c r="N38" i="2"/>
  <c r="P38" i="2" s="1"/>
  <c r="N35" i="2"/>
  <c r="P35" i="2" s="1"/>
  <c r="N24" i="2"/>
  <c r="P24" i="2" s="1"/>
  <c r="M24" i="2"/>
  <c r="N16" i="2"/>
  <c r="P16" i="2" s="1"/>
  <c r="M16" i="2"/>
  <c r="M14" i="2" s="1"/>
  <c r="N12" i="2"/>
  <c r="P12" i="2" s="1"/>
  <c r="M12" i="2"/>
  <c r="N74" i="2" l="1"/>
  <c r="P74" i="2" s="1"/>
  <c r="N112" i="2"/>
  <c r="P112" i="2" s="1"/>
  <c r="N14" i="2"/>
  <c r="N43" i="2"/>
  <c r="P43" i="2" s="1"/>
  <c r="M142" i="2"/>
  <c r="N146" i="2"/>
  <c r="P146" i="2" s="1"/>
  <c r="N70" i="2"/>
  <c r="P70" i="2" s="1"/>
  <c r="M33" i="2"/>
  <c r="M139" i="2" s="1"/>
  <c r="N33" i="2"/>
  <c r="P33" i="2" s="1"/>
  <c r="N48" i="2"/>
  <c r="P48" i="2" s="1"/>
  <c r="M10" i="2"/>
  <c r="N144" i="2"/>
  <c r="P144" i="2" s="1"/>
  <c r="N145" i="2"/>
  <c r="P145" i="2" s="1"/>
  <c r="N139" i="2"/>
  <c r="P139" i="2" s="1"/>
  <c r="M149" i="2"/>
  <c r="N143" i="2"/>
  <c r="P143" i="2" s="1"/>
  <c r="M42" i="2"/>
  <c r="M34" i="2" s="1"/>
  <c r="M140" i="2" s="1"/>
  <c r="P14" i="2" l="1"/>
  <c r="N10" i="2"/>
  <c r="P10" i="2" s="1"/>
  <c r="N42" i="2"/>
  <c r="P42" i="2" s="1"/>
  <c r="N148" i="2"/>
  <c r="P148" i="2" s="1"/>
  <c r="N34" i="2"/>
  <c r="P34" i="2" s="1"/>
  <c r="N142" i="2"/>
  <c r="P142" i="2" s="1"/>
  <c r="M69" i="2"/>
  <c r="M129" i="2" s="1"/>
  <c r="M134" i="2" s="1"/>
  <c r="M137" i="2" s="1"/>
  <c r="N140" i="2" l="1"/>
  <c r="P140" i="2" s="1"/>
  <c r="N149" i="2"/>
  <c r="P149" i="2" s="1"/>
  <c r="N69" i="2"/>
  <c r="C35" i="2"/>
  <c r="AN24" i="2"/>
  <c r="AM24" i="2"/>
  <c r="AL24" i="2"/>
  <c r="AI24" i="2"/>
  <c r="AH24" i="2"/>
  <c r="AG24" i="2"/>
  <c r="N129" i="2" l="1"/>
  <c r="P69" i="2"/>
  <c r="N134" i="2" l="1"/>
  <c r="P129" i="2"/>
  <c r="AP13" i="2"/>
  <c r="AT15" i="2" s="1"/>
  <c r="AT17" i="2" s="1"/>
  <c r="G16" i="2"/>
  <c r="H16" i="2"/>
  <c r="I16" i="2"/>
  <c r="J16" i="2"/>
  <c r="N137" i="2" l="1"/>
  <c r="P137" i="2" s="1"/>
  <c r="P134" i="2"/>
  <c r="AQ15" i="2"/>
  <c r="AQ17" i="2" s="1"/>
  <c r="AS15" i="2"/>
  <c r="AS17" i="2" s="1"/>
  <c r="AR15" i="2"/>
  <c r="AR17" i="2" s="1"/>
  <c r="V35" i="3"/>
  <c r="V36" i="3"/>
  <c r="V39" i="3"/>
  <c r="V40" i="3"/>
  <c r="G33" i="18"/>
  <c r="H33" i="18"/>
  <c r="I33" i="18"/>
  <c r="J33" i="18"/>
  <c r="D33" i="18"/>
  <c r="C33" i="18"/>
  <c r="AV15" i="2" l="1"/>
  <c r="G34" i="18"/>
  <c r="G31" i="18" l="1"/>
  <c r="H14" i="2" l="1"/>
  <c r="G14" i="2"/>
  <c r="D61" i="10" l="1"/>
  <c r="D59" i="10"/>
  <c r="F56" i="10"/>
  <c r="D56" i="10"/>
  <c r="D50" i="10"/>
  <c r="D49" i="10"/>
  <c r="D48" i="10"/>
  <c r="D47" i="10"/>
  <c r="D51" i="10" l="1"/>
  <c r="AF14" i="3" l="1"/>
  <c r="AH14" i="3" l="1"/>
  <c r="AG14" i="3"/>
  <c r="AN20" i="2" l="1"/>
  <c r="AF15" i="3" l="1"/>
  <c r="AG15" i="3"/>
  <c r="AH15" i="3"/>
  <c r="AE15" i="3"/>
  <c r="C31" i="10" l="1"/>
  <c r="D31" i="10"/>
  <c r="E31" i="10"/>
  <c r="B31" i="10"/>
  <c r="C30" i="10"/>
  <c r="D30" i="10"/>
  <c r="E30" i="10"/>
  <c r="B30" i="10"/>
  <c r="V20" i="3" l="1"/>
  <c r="AB18" i="3" s="1"/>
  <c r="AB17" i="3" s="1"/>
  <c r="AE14" i="3"/>
  <c r="AF17" i="3"/>
  <c r="AF12" i="3" s="1"/>
  <c r="AH18" i="3"/>
  <c r="AH17" i="3" s="1"/>
  <c r="AE17" i="3"/>
  <c r="AD19" i="3"/>
  <c r="AG17" i="3"/>
  <c r="AG12" i="3" s="1"/>
  <c r="AD16" i="3"/>
  <c r="AD15" i="3"/>
  <c r="AD13" i="3"/>
  <c r="AA18" i="3"/>
  <c r="AA17" i="3" s="1"/>
  <c r="V14" i="3"/>
  <c r="V13" i="3"/>
  <c r="V26" i="3"/>
  <c r="AB15" i="3" s="1"/>
  <c r="V25" i="3"/>
  <c r="AA15" i="3"/>
  <c r="V21" i="3"/>
  <c r="V9" i="3"/>
  <c r="V8" i="3"/>
  <c r="AE12" i="3" l="1"/>
  <c r="AD14" i="3"/>
  <c r="AH12" i="3"/>
  <c r="AB14" i="3"/>
  <c r="AA14" i="3"/>
  <c r="AC12" i="3"/>
  <c r="AA12" i="3"/>
  <c r="AB12" i="3"/>
  <c r="AD18" i="3"/>
  <c r="AD17" i="3" s="1"/>
  <c r="F28" i="19"/>
  <c r="F32" i="19"/>
  <c r="G144" i="2"/>
  <c r="H144" i="2"/>
  <c r="I144" i="2"/>
  <c r="J144" i="2"/>
  <c r="D144" i="2"/>
  <c r="G146" i="2"/>
  <c r="G34" i="19" s="1"/>
  <c r="C146" i="2"/>
  <c r="C145" i="2"/>
  <c r="D143" i="2"/>
  <c r="G143" i="2"/>
  <c r="H143" i="2"/>
  <c r="I143" i="2"/>
  <c r="J143" i="2"/>
  <c r="C143" i="2"/>
  <c r="I146" i="2"/>
  <c r="I34" i="19" s="1"/>
  <c r="J146" i="2"/>
  <c r="J34" i="19" s="1"/>
  <c r="I145" i="2"/>
  <c r="J145" i="2"/>
  <c r="H146" i="2"/>
  <c r="H34" i="19" s="1"/>
  <c r="H145" i="2"/>
  <c r="G145" i="2"/>
  <c r="F34" i="19" l="1"/>
  <c r="AD12" i="3"/>
  <c r="O34" i="19"/>
  <c r="P34" i="19"/>
  <c r="Q34" i="19"/>
  <c r="N34" i="19"/>
  <c r="O27" i="19"/>
  <c r="O28" i="19" s="1"/>
  <c r="P27" i="19"/>
  <c r="P28" i="19" s="1"/>
  <c r="Q27" i="19"/>
  <c r="Q28" i="19" s="1"/>
  <c r="N27" i="19"/>
  <c r="M34" i="19" l="1"/>
  <c r="N28" i="19"/>
  <c r="M28" i="19" s="1"/>
  <c r="M27" i="19"/>
  <c r="E16" i="2" l="1"/>
  <c r="E143" i="2"/>
  <c r="AG143" i="2" s="1"/>
  <c r="AG144" i="2" l="1"/>
  <c r="D146" i="2"/>
  <c r="E146" i="2" l="1"/>
  <c r="D145" i="2"/>
  <c r="L34" i="19" l="1"/>
  <c r="AG146" i="2"/>
  <c r="E145" i="2"/>
  <c r="C144" i="2"/>
  <c r="C142" i="2" s="1"/>
  <c r="L27" i="19" l="1"/>
  <c r="L28" i="19" s="1"/>
  <c r="AG145" i="2"/>
  <c r="D118" i="2"/>
  <c r="D117" i="2" s="1"/>
  <c r="E118" i="2"/>
  <c r="G118" i="2"/>
  <c r="G71" i="2" s="1"/>
  <c r="H118" i="2"/>
  <c r="H71" i="2" s="1"/>
  <c r="I118" i="2"/>
  <c r="I71" i="2" s="1"/>
  <c r="J118" i="2"/>
  <c r="J71" i="2" s="1"/>
  <c r="C118" i="2"/>
  <c r="C117" i="2" s="1"/>
  <c r="E117" i="2" l="1"/>
  <c r="E71" i="2"/>
  <c r="J117" i="2"/>
  <c r="I117" i="2"/>
  <c r="H117" i="2"/>
  <c r="G117" i="2"/>
  <c r="F59" i="10"/>
  <c r="F54" i="10" l="1"/>
  <c r="D16" i="2"/>
  <c r="G48" i="2" l="1"/>
  <c r="G148" i="2" s="1"/>
  <c r="H48" i="2"/>
  <c r="H148" i="2" s="1"/>
  <c r="I48" i="2"/>
  <c r="I148" i="2" s="1"/>
  <c r="J48" i="2"/>
  <c r="J148" i="2" s="1"/>
  <c r="C48" i="2" l="1"/>
  <c r="C148" i="2" s="1"/>
  <c r="E70" i="2"/>
  <c r="F63" i="2"/>
  <c r="F64" i="2"/>
  <c r="F65" i="2"/>
  <c r="F61" i="10" l="1"/>
  <c r="E48" i="2"/>
  <c r="E148" i="2" s="1"/>
  <c r="AG148" i="2" s="1"/>
  <c r="D48" i="2"/>
  <c r="D148" i="2" s="1"/>
  <c r="H17" i="3"/>
  <c r="H34" i="18" l="1"/>
  <c r="H31" i="18" s="1"/>
  <c r="H62" i="10"/>
  <c r="F51" i="10"/>
  <c r="F62" i="10" s="1"/>
  <c r="D62" i="10"/>
  <c r="C43" i="2"/>
  <c r="C70" i="2"/>
  <c r="C19" i="14" s="1"/>
  <c r="D12" i="2"/>
  <c r="D10" i="2" s="1"/>
  <c r="E14" i="2"/>
  <c r="I14" i="2"/>
  <c r="J14" i="2"/>
  <c r="F47" i="2"/>
  <c r="F46" i="2"/>
  <c r="E97" i="2"/>
  <c r="E96" i="2" s="1"/>
  <c r="E74" i="2" s="1"/>
  <c r="E20" i="14" s="1"/>
  <c r="D97" i="2"/>
  <c r="D96" i="2" s="1"/>
  <c r="D74" i="2" s="1"/>
  <c r="D70" i="2" s="1"/>
  <c r="C97" i="2"/>
  <c r="C96" i="2" s="1"/>
  <c r="J97" i="2"/>
  <c r="I97" i="2"/>
  <c r="H97" i="2"/>
  <c r="G97" i="2"/>
  <c r="G96" i="2" s="1"/>
  <c r="G74" i="2" s="1"/>
  <c r="J96" i="2"/>
  <c r="J74" i="2" s="1"/>
  <c r="J20" i="14" s="1"/>
  <c r="I96" i="2"/>
  <c r="I74" i="2" s="1"/>
  <c r="I20" i="14" s="1"/>
  <c r="H96" i="2"/>
  <c r="H74" i="2" s="1"/>
  <c r="H20" i="14" s="1"/>
  <c r="F103" i="2"/>
  <c r="F102" i="2"/>
  <c r="F104" i="2"/>
  <c r="C105" i="2"/>
  <c r="C21" i="14" s="1"/>
  <c r="G105" i="2"/>
  <c r="G21" i="14" s="1"/>
  <c r="H105" i="2"/>
  <c r="I105" i="2"/>
  <c r="I21" i="14" s="1"/>
  <c r="J105" i="2"/>
  <c r="J21" i="14" s="1"/>
  <c r="L123" i="10"/>
  <c r="Q123" i="10"/>
  <c r="R123" i="10"/>
  <c r="S123" i="10"/>
  <c r="T123" i="10"/>
  <c r="X123" i="10"/>
  <c r="Y123" i="10"/>
  <c r="Z123" i="10"/>
  <c r="AA123" i="10"/>
  <c r="G94" i="10"/>
  <c r="F17" i="2"/>
  <c r="F18" i="2"/>
  <c r="F19" i="2"/>
  <c r="F20" i="2"/>
  <c r="F21" i="2"/>
  <c r="F22" i="2"/>
  <c r="F23" i="2"/>
  <c r="F24" i="2"/>
  <c r="H36" i="10"/>
  <c r="F36" i="10"/>
  <c r="H35" i="10"/>
  <c r="F35" i="10"/>
  <c r="H34" i="10"/>
  <c r="F34" i="10"/>
  <c r="H33" i="10"/>
  <c r="F33" i="10"/>
  <c r="F28" i="10"/>
  <c r="H27" i="10"/>
  <c r="H24" i="10"/>
  <c r="H23" i="10"/>
  <c r="H22" i="10"/>
  <c r="H20" i="10"/>
  <c r="F20" i="10"/>
  <c r="H19" i="10"/>
  <c r="F19" i="10"/>
  <c r="H18" i="10"/>
  <c r="F18" i="10"/>
  <c r="H17" i="10"/>
  <c r="F17" i="10"/>
  <c r="H16" i="10"/>
  <c r="F16" i="10"/>
  <c r="H15" i="10"/>
  <c r="F15" i="10"/>
  <c r="F13" i="3"/>
  <c r="F18" i="3"/>
  <c r="D17" i="3"/>
  <c r="H12" i="3"/>
  <c r="H47" i="14" s="1"/>
  <c r="I17" i="3"/>
  <c r="I34" i="18" s="1"/>
  <c r="I31" i="18" s="1"/>
  <c r="I38" i="18" s="1"/>
  <c r="I42" i="14" s="1"/>
  <c r="J17" i="3"/>
  <c r="J34" i="18" s="1"/>
  <c r="J31" i="18" s="1"/>
  <c r="C17" i="3"/>
  <c r="J142" i="2"/>
  <c r="J149" i="2" s="1"/>
  <c r="I142" i="2"/>
  <c r="H142" i="2"/>
  <c r="H149" i="2" s="1"/>
  <c r="G142" i="2"/>
  <c r="G149" i="2" s="1"/>
  <c r="E142" i="2"/>
  <c r="D142" i="2"/>
  <c r="D149" i="2" s="1"/>
  <c r="F120" i="2"/>
  <c r="J112" i="2"/>
  <c r="H112" i="2"/>
  <c r="G112" i="2"/>
  <c r="G22" i="14" s="1"/>
  <c r="D43" i="2"/>
  <c r="D42" i="2" s="1"/>
  <c r="E43" i="2"/>
  <c r="E42" i="2" s="1"/>
  <c r="E34" i="2" s="1"/>
  <c r="G43" i="2"/>
  <c r="H43" i="2"/>
  <c r="H42" i="2" s="1"/>
  <c r="H34" i="2" s="1"/>
  <c r="G70" i="2"/>
  <c r="F72" i="2"/>
  <c r="E19" i="14"/>
  <c r="F71" i="2"/>
  <c r="H70" i="2"/>
  <c r="I70" i="2"/>
  <c r="J70" i="2"/>
  <c r="F73" i="2"/>
  <c r="G12" i="2"/>
  <c r="H12" i="2"/>
  <c r="J12" i="2"/>
  <c r="I12" i="2"/>
  <c r="F25" i="2"/>
  <c r="F26" i="2"/>
  <c r="F27" i="2"/>
  <c r="F28" i="2"/>
  <c r="F29" i="2"/>
  <c r="F15" i="2"/>
  <c r="C12" i="2"/>
  <c r="C10" i="2" s="1"/>
  <c r="E12" i="2"/>
  <c r="F13" i="2"/>
  <c r="J45" i="20" s="1"/>
  <c r="D24" i="19"/>
  <c r="D36" i="14" s="1"/>
  <c r="E24" i="19"/>
  <c r="E35" i="19" s="1"/>
  <c r="E38" i="14" s="1"/>
  <c r="D37" i="14"/>
  <c r="B14" i="10"/>
  <c r="B32" i="10" s="1"/>
  <c r="C14" i="10"/>
  <c r="C32" i="10" s="1"/>
  <c r="D14" i="10"/>
  <c r="E14" i="10"/>
  <c r="B21" i="10"/>
  <c r="B29" i="10" s="1"/>
  <c r="C21" i="10"/>
  <c r="C29" i="10" s="1"/>
  <c r="D21" i="10"/>
  <c r="E21" i="10"/>
  <c r="C25" i="10"/>
  <c r="D25" i="10"/>
  <c r="E25" i="10"/>
  <c r="H26" i="10"/>
  <c r="H28" i="10"/>
  <c r="F30" i="10"/>
  <c r="F31" i="10"/>
  <c r="G95" i="10"/>
  <c r="G96" i="10"/>
  <c r="G97" i="10"/>
  <c r="H106" i="10"/>
  <c r="H107" i="10"/>
  <c r="H108" i="10"/>
  <c r="H109" i="10"/>
  <c r="E119" i="10"/>
  <c r="J119" i="10"/>
  <c r="O119" i="10"/>
  <c r="U119" i="10"/>
  <c r="AC119" i="10"/>
  <c r="AD119" i="10"/>
  <c r="AE119" i="10"/>
  <c r="AF119" i="10"/>
  <c r="E120" i="10"/>
  <c r="O120" i="10"/>
  <c r="U120" i="10"/>
  <c r="AD120" i="10"/>
  <c r="E121" i="10"/>
  <c r="J121" i="10"/>
  <c r="O121" i="10"/>
  <c r="U121" i="10"/>
  <c r="AC121" i="10"/>
  <c r="AD121" i="10"/>
  <c r="AE121" i="10"/>
  <c r="AF121" i="10"/>
  <c r="E122" i="10"/>
  <c r="J122" i="10"/>
  <c r="O122" i="10"/>
  <c r="U122" i="10"/>
  <c r="AC122" i="10"/>
  <c r="AD122" i="10"/>
  <c r="AE122" i="10"/>
  <c r="AF122" i="10"/>
  <c r="F14" i="3"/>
  <c r="F15" i="3"/>
  <c r="F16" i="3"/>
  <c r="F19" i="3"/>
  <c r="G38" i="18"/>
  <c r="G42" i="14" s="1"/>
  <c r="H38" i="18"/>
  <c r="J38" i="18"/>
  <c r="J42" i="14" s="1"/>
  <c r="C64" i="18"/>
  <c r="D64" i="18"/>
  <c r="D43" i="14" s="1"/>
  <c r="E64" i="18"/>
  <c r="E43" i="14" s="1"/>
  <c r="F64" i="18"/>
  <c r="F43" i="14" s="1"/>
  <c r="G64" i="18"/>
  <c r="G43" i="14" s="1"/>
  <c r="H64" i="18"/>
  <c r="H43" i="14" s="1"/>
  <c r="I64" i="18"/>
  <c r="J64" i="18"/>
  <c r="J43" i="14" s="1"/>
  <c r="C45" i="14"/>
  <c r="C24" i="19"/>
  <c r="C35" i="19" s="1"/>
  <c r="C38" i="14" s="1"/>
  <c r="G24" i="19"/>
  <c r="G36" i="14" s="1"/>
  <c r="H24" i="19"/>
  <c r="H36" i="14" s="1"/>
  <c r="I24" i="19"/>
  <c r="I35" i="19" s="1"/>
  <c r="I38" i="14" s="1"/>
  <c r="J24" i="19"/>
  <c r="J35" i="19" s="1"/>
  <c r="J38" i="14" s="1"/>
  <c r="F11" i="2"/>
  <c r="F30" i="2"/>
  <c r="F31" i="2"/>
  <c r="F32" i="2"/>
  <c r="F36" i="2"/>
  <c r="F41" i="2"/>
  <c r="I43" i="2"/>
  <c r="I42" i="2" s="1"/>
  <c r="I34" i="2" s="1"/>
  <c r="J43" i="2"/>
  <c r="J42" i="2" s="1"/>
  <c r="J34" i="2" s="1"/>
  <c r="F45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75" i="2"/>
  <c r="F76" i="2"/>
  <c r="F77" i="2"/>
  <c r="F78" i="2"/>
  <c r="F79" i="2"/>
  <c r="F80" i="2"/>
  <c r="F81" i="2"/>
  <c r="F84" i="2"/>
  <c r="F85" i="2"/>
  <c r="F86" i="2"/>
  <c r="F87" i="2"/>
  <c r="F88" i="2"/>
  <c r="F89" i="2"/>
  <c r="F90" i="2"/>
  <c r="F91" i="2"/>
  <c r="F92" i="2"/>
  <c r="F93" i="2"/>
  <c r="F94" i="2"/>
  <c r="F95" i="2"/>
  <c r="F99" i="2"/>
  <c r="F100" i="2"/>
  <c r="F101" i="2"/>
  <c r="F106" i="2"/>
  <c r="F107" i="2"/>
  <c r="F108" i="2"/>
  <c r="F109" i="2"/>
  <c r="F110" i="2"/>
  <c r="F111" i="2"/>
  <c r="F113" i="2"/>
  <c r="F114" i="2"/>
  <c r="F115" i="2"/>
  <c r="F116" i="2"/>
  <c r="F121" i="2"/>
  <c r="F122" i="2"/>
  <c r="F123" i="2"/>
  <c r="F124" i="2"/>
  <c r="F125" i="2"/>
  <c r="F22" i="19" s="1"/>
  <c r="F147" i="2"/>
  <c r="C149" i="2"/>
  <c r="B16" i="14"/>
  <c r="B17" i="14"/>
  <c r="B18" i="14"/>
  <c r="B19" i="14"/>
  <c r="D19" i="14"/>
  <c r="I19" i="14"/>
  <c r="B20" i="14"/>
  <c r="B21" i="14"/>
  <c r="H21" i="14"/>
  <c r="B22" i="14"/>
  <c r="B23" i="14"/>
  <c r="B24" i="14"/>
  <c r="C24" i="14"/>
  <c r="D24" i="14"/>
  <c r="E24" i="14"/>
  <c r="F24" i="14"/>
  <c r="G24" i="14"/>
  <c r="H24" i="14"/>
  <c r="I24" i="14"/>
  <c r="J24" i="14"/>
  <c r="B25" i="14"/>
  <c r="C25" i="14"/>
  <c r="D25" i="14"/>
  <c r="E25" i="14"/>
  <c r="F25" i="14"/>
  <c r="G25" i="14"/>
  <c r="H25" i="14"/>
  <c r="I25" i="14"/>
  <c r="J25" i="14"/>
  <c r="B26" i="14"/>
  <c r="C26" i="14"/>
  <c r="D26" i="14"/>
  <c r="E26" i="14"/>
  <c r="F26" i="14"/>
  <c r="G26" i="14"/>
  <c r="H26" i="14"/>
  <c r="I26" i="14"/>
  <c r="J26" i="14"/>
  <c r="B27" i="14"/>
  <c r="C27" i="14"/>
  <c r="D27" i="14"/>
  <c r="E27" i="14"/>
  <c r="F27" i="14"/>
  <c r="G27" i="14"/>
  <c r="H27" i="14"/>
  <c r="I27" i="14"/>
  <c r="J27" i="14"/>
  <c r="B28" i="14"/>
  <c r="B29" i="14"/>
  <c r="C29" i="14"/>
  <c r="D29" i="14"/>
  <c r="E29" i="14"/>
  <c r="F29" i="14"/>
  <c r="G29" i="14"/>
  <c r="H29" i="14"/>
  <c r="I29" i="14"/>
  <c r="J29" i="14"/>
  <c r="B30" i="14"/>
  <c r="B32" i="14"/>
  <c r="C32" i="14"/>
  <c r="D32" i="14"/>
  <c r="E32" i="14"/>
  <c r="F32" i="14"/>
  <c r="G32" i="14"/>
  <c r="H32" i="14"/>
  <c r="I32" i="14"/>
  <c r="J32" i="14"/>
  <c r="B33" i="14"/>
  <c r="C33" i="14"/>
  <c r="D33" i="14"/>
  <c r="E33" i="14"/>
  <c r="F33" i="14"/>
  <c r="G33" i="14"/>
  <c r="H33" i="14"/>
  <c r="I33" i="14"/>
  <c r="J33" i="14"/>
  <c r="B34" i="14"/>
  <c r="C34" i="14"/>
  <c r="D34" i="14"/>
  <c r="E34" i="14"/>
  <c r="F34" i="14"/>
  <c r="G34" i="14"/>
  <c r="H34" i="14"/>
  <c r="I34" i="14"/>
  <c r="J34" i="14"/>
  <c r="B35" i="14"/>
  <c r="C35" i="14"/>
  <c r="D35" i="14"/>
  <c r="E35" i="14"/>
  <c r="F35" i="14"/>
  <c r="G35" i="14"/>
  <c r="H35" i="14"/>
  <c r="I35" i="14"/>
  <c r="J35" i="14"/>
  <c r="B36" i="14"/>
  <c r="I36" i="14"/>
  <c r="B37" i="14"/>
  <c r="C37" i="14"/>
  <c r="E37" i="14"/>
  <c r="G37" i="14"/>
  <c r="H37" i="14"/>
  <c r="I37" i="14"/>
  <c r="J37" i="14"/>
  <c r="B38" i="14"/>
  <c r="B40" i="14"/>
  <c r="C40" i="14"/>
  <c r="D40" i="14"/>
  <c r="E40" i="14"/>
  <c r="F40" i="14"/>
  <c r="G40" i="14"/>
  <c r="H40" i="14"/>
  <c r="I40" i="14"/>
  <c r="J40" i="14"/>
  <c r="B41" i="14"/>
  <c r="C41" i="14"/>
  <c r="D41" i="14"/>
  <c r="E41" i="14"/>
  <c r="F41" i="14"/>
  <c r="G41" i="14"/>
  <c r="H41" i="14"/>
  <c r="I41" i="14"/>
  <c r="J41" i="14"/>
  <c r="B42" i="14"/>
  <c r="B43" i="14"/>
  <c r="I43" i="14"/>
  <c r="B44" i="14"/>
  <c r="C44" i="14"/>
  <c r="D44" i="14"/>
  <c r="E44" i="14"/>
  <c r="F44" i="14"/>
  <c r="G44" i="14"/>
  <c r="H44" i="14"/>
  <c r="I44" i="14"/>
  <c r="J44" i="14"/>
  <c r="B45" i="14"/>
  <c r="B47" i="14"/>
  <c r="D35" i="19"/>
  <c r="D38" i="14" s="1"/>
  <c r="B25" i="10"/>
  <c r="H25" i="10" s="1"/>
  <c r="H30" i="10"/>
  <c r="H31" i="10"/>
  <c r="I149" i="2"/>
  <c r="E112" i="2"/>
  <c r="D112" i="2"/>
  <c r="F35" i="2"/>
  <c r="F40" i="2"/>
  <c r="J60" i="10" l="1"/>
  <c r="J60" i="20"/>
  <c r="J59" i="10"/>
  <c r="J59" i="20"/>
  <c r="J56" i="10"/>
  <c r="J56" i="20"/>
  <c r="J54" i="10"/>
  <c r="J54" i="20"/>
  <c r="J50" i="10"/>
  <c r="J50" i="20"/>
  <c r="C43" i="14"/>
  <c r="E149" i="2"/>
  <c r="AG149" i="2" s="1"/>
  <c r="AG142" i="2"/>
  <c r="G69" i="18"/>
  <c r="G68" i="18" s="1"/>
  <c r="G45" i="14" s="1"/>
  <c r="F25" i="10"/>
  <c r="H69" i="18"/>
  <c r="H68" i="18" s="1"/>
  <c r="H45" i="14" s="1"/>
  <c r="F17" i="3"/>
  <c r="F34" i="18" s="1"/>
  <c r="F21" i="10"/>
  <c r="D29" i="10"/>
  <c r="E32" i="10"/>
  <c r="E29" i="10"/>
  <c r="F29" i="10" s="1"/>
  <c r="AD123" i="10"/>
  <c r="E36" i="14"/>
  <c r="G42" i="2"/>
  <c r="G34" i="2" s="1"/>
  <c r="G35" i="19"/>
  <c r="G38" i="14" s="1"/>
  <c r="F33" i="18"/>
  <c r="C12" i="3"/>
  <c r="C47" i="14" s="1"/>
  <c r="C34" i="18"/>
  <c r="C31" i="18" s="1"/>
  <c r="C38" i="18" s="1"/>
  <c r="C42" i="14" s="1"/>
  <c r="E12" i="3"/>
  <c r="E47" i="14" s="1"/>
  <c r="E34" i="18"/>
  <c r="E31" i="18" s="1"/>
  <c r="E38" i="18" s="1"/>
  <c r="D12" i="3"/>
  <c r="D47" i="14" s="1"/>
  <c r="D34" i="18"/>
  <c r="D31" i="18" s="1"/>
  <c r="D38" i="18" s="1"/>
  <c r="H42" i="14"/>
  <c r="H21" i="10"/>
  <c r="AB121" i="10"/>
  <c r="F143" i="2"/>
  <c r="J69" i="18"/>
  <c r="J68" i="18" s="1"/>
  <c r="J45" i="14" s="1"/>
  <c r="I69" i="18"/>
  <c r="I68" i="18" s="1"/>
  <c r="I45" i="14" s="1"/>
  <c r="J140" i="2"/>
  <c r="H14" i="10"/>
  <c r="C36" i="14"/>
  <c r="F14" i="10"/>
  <c r="D32" i="10"/>
  <c r="F144" i="2"/>
  <c r="J51" i="10"/>
  <c r="F12" i="2"/>
  <c r="J45" i="10"/>
  <c r="J62" i="10" s="1"/>
  <c r="H35" i="19"/>
  <c r="H38" i="14" s="1"/>
  <c r="F70" i="2"/>
  <c r="F19" i="14" s="1"/>
  <c r="G19" i="14"/>
  <c r="H140" i="2"/>
  <c r="G20" i="14"/>
  <c r="J22" i="14"/>
  <c r="J19" i="14"/>
  <c r="H19" i="14"/>
  <c r="H22" i="14"/>
  <c r="D20" i="14"/>
  <c r="F43" i="2"/>
  <c r="F118" i="2"/>
  <c r="F117" i="2" s="1"/>
  <c r="F112" i="2" s="1"/>
  <c r="D33" i="2"/>
  <c r="D139" i="2" s="1"/>
  <c r="D34" i="2"/>
  <c r="I112" i="2"/>
  <c r="C112" i="2"/>
  <c r="AB122" i="10"/>
  <c r="E123" i="10"/>
  <c r="AB119" i="10"/>
  <c r="H110" i="10"/>
  <c r="E10" i="2"/>
  <c r="I12" i="3"/>
  <c r="I47" i="14" s="1"/>
  <c r="G12" i="3"/>
  <c r="G47" i="14" s="1"/>
  <c r="C74" i="2"/>
  <c r="C20" i="14" s="1"/>
  <c r="F105" i="2"/>
  <c r="D105" i="2" s="1"/>
  <c r="D21" i="14" s="1"/>
  <c r="J36" i="14"/>
  <c r="U123" i="10"/>
  <c r="J12" i="3"/>
  <c r="J47" i="14" s="1"/>
  <c r="F48" i="2"/>
  <c r="F148" i="2" s="1"/>
  <c r="O123" i="10"/>
  <c r="G98" i="10"/>
  <c r="C42" i="2"/>
  <c r="C34" i="2" s="1"/>
  <c r="C140" i="2" s="1"/>
  <c r="C33" i="2"/>
  <c r="F97" i="2"/>
  <c r="F96" i="2" s="1"/>
  <c r="F74" i="2" s="1"/>
  <c r="J17" i="14"/>
  <c r="H17" i="14"/>
  <c r="E17" i="14"/>
  <c r="C61" i="10"/>
  <c r="C60" i="10"/>
  <c r="I17" i="14"/>
  <c r="B58" i="10"/>
  <c r="B56" i="10"/>
  <c r="B54" i="10"/>
  <c r="B52" i="10"/>
  <c r="B50" i="10"/>
  <c r="B47" i="10"/>
  <c r="B61" i="10"/>
  <c r="B60" i="10"/>
  <c r="B45" i="10"/>
  <c r="B59" i="10"/>
  <c r="B57" i="10"/>
  <c r="B55" i="10"/>
  <c r="B53" i="10"/>
  <c r="B48" i="10"/>
  <c r="B49" i="10"/>
  <c r="F16" i="2"/>
  <c r="I10" i="2"/>
  <c r="I33" i="2" s="1"/>
  <c r="I139" i="2" s="1"/>
  <c r="G10" i="2"/>
  <c r="G33" i="2" s="1"/>
  <c r="G139" i="2" s="1"/>
  <c r="B51" i="10"/>
  <c r="J10" i="2"/>
  <c r="J33" i="2" s="1"/>
  <c r="J139" i="2" s="1"/>
  <c r="H10" i="2"/>
  <c r="H33" i="2" s="1"/>
  <c r="H139" i="2" s="1"/>
  <c r="F14" i="2"/>
  <c r="F12" i="3" l="1"/>
  <c r="F47" i="14" s="1"/>
  <c r="J51" i="20"/>
  <c r="C139" i="2"/>
  <c r="C69" i="2"/>
  <c r="C129" i="2" s="1"/>
  <c r="C134" i="2" s="1"/>
  <c r="F31" i="18"/>
  <c r="F38" i="18" s="1"/>
  <c r="E33" i="2"/>
  <c r="E139" i="2" s="1"/>
  <c r="AG139" i="2" s="1"/>
  <c r="H29" i="10"/>
  <c r="D69" i="2"/>
  <c r="D129" i="2" s="1"/>
  <c r="F142" i="2"/>
  <c r="F149" i="2" s="1"/>
  <c r="G140" i="2"/>
  <c r="G17" i="14"/>
  <c r="F42" i="14"/>
  <c r="E45" i="14"/>
  <c r="E42" i="14"/>
  <c r="D42" i="14"/>
  <c r="D45" i="14"/>
  <c r="F10" i="2"/>
  <c r="F33" i="2" s="1"/>
  <c r="F139" i="2" s="1"/>
  <c r="C50" i="10"/>
  <c r="C51" i="10"/>
  <c r="F32" i="10"/>
  <c r="H32" i="10"/>
  <c r="B62" i="10"/>
  <c r="C58" i="10"/>
  <c r="C54" i="10"/>
  <c r="C59" i="10"/>
  <c r="C55" i="10"/>
  <c r="C52" i="10"/>
  <c r="C48" i="10"/>
  <c r="C49" i="10"/>
  <c r="C45" i="10"/>
  <c r="C57" i="10"/>
  <c r="C47" i="10"/>
  <c r="C56" i="10"/>
  <c r="C53" i="10"/>
  <c r="D140" i="2"/>
  <c r="I22" i="14"/>
  <c r="I140" i="2"/>
  <c r="F20" i="14"/>
  <c r="J16" i="14"/>
  <c r="H16" i="14"/>
  <c r="G16" i="14"/>
  <c r="C22" i="14"/>
  <c r="D17" i="14"/>
  <c r="F42" i="2"/>
  <c r="F34" i="2" s="1"/>
  <c r="F140" i="2" s="1"/>
  <c r="F21" i="14"/>
  <c r="I16" i="14"/>
  <c r="J69" i="2"/>
  <c r="N123" i="10"/>
  <c r="AF123" i="10" s="1"/>
  <c r="AF120" i="10"/>
  <c r="K123" i="10"/>
  <c r="AC123" i="10" s="1"/>
  <c r="AC120" i="10"/>
  <c r="J120" i="10"/>
  <c r="M123" i="10"/>
  <c r="AE123" i="10" s="1"/>
  <c r="AE120" i="10"/>
  <c r="G69" i="2"/>
  <c r="G129" i="2" s="1"/>
  <c r="D16" i="14"/>
  <c r="E105" i="2"/>
  <c r="C17" i="14"/>
  <c r="C16" i="14"/>
  <c r="I69" i="2"/>
  <c r="H69" i="2"/>
  <c r="H129" i="2" s="1"/>
  <c r="C18" i="14" l="1"/>
  <c r="C51" i="20"/>
  <c r="C50" i="20"/>
  <c r="E16" i="14"/>
  <c r="J62" i="20"/>
  <c r="E69" i="2"/>
  <c r="F16" i="14"/>
  <c r="F69" i="2"/>
  <c r="F129" i="2" s="1"/>
  <c r="C62" i="10"/>
  <c r="E21" i="14"/>
  <c r="E140" i="2"/>
  <c r="AG140" i="2" s="1"/>
  <c r="F17" i="14"/>
  <c r="C23" i="14"/>
  <c r="E129" i="2"/>
  <c r="E134" i="2" s="1"/>
  <c r="E137" i="2" s="1"/>
  <c r="J18" i="14"/>
  <c r="J129" i="2"/>
  <c r="J134" i="2" s="1"/>
  <c r="I18" i="14"/>
  <c r="I129" i="2"/>
  <c r="E18" i="14"/>
  <c r="D18" i="14"/>
  <c r="H18" i="14"/>
  <c r="G18" i="14"/>
  <c r="F22" i="14"/>
  <c r="AB120" i="10"/>
  <c r="J123" i="10"/>
  <c r="H23" i="14"/>
  <c r="H134" i="2"/>
  <c r="G134" i="2"/>
  <c r="G23" i="14"/>
  <c r="C53" i="20" l="1"/>
  <c r="C48" i="20"/>
  <c r="C52" i="20"/>
  <c r="C58" i="20"/>
  <c r="C47" i="20"/>
  <c r="C55" i="20"/>
  <c r="C57" i="20"/>
  <c r="C45" i="20"/>
  <c r="C62" i="20" s="1"/>
  <c r="C56" i="20"/>
  <c r="C59" i="20"/>
  <c r="C49" i="20"/>
  <c r="C54" i="20"/>
  <c r="F18" i="14"/>
  <c r="J23" i="14"/>
  <c r="C28" i="14"/>
  <c r="I23" i="14"/>
  <c r="I134" i="2"/>
  <c r="D22" i="14"/>
  <c r="AB123" i="10"/>
  <c r="E22" i="14"/>
  <c r="H137" i="2"/>
  <c r="H30" i="14" s="1"/>
  <c r="H10" i="18"/>
  <c r="H28" i="14"/>
  <c r="J137" i="2"/>
  <c r="J30" i="14" s="1"/>
  <c r="J28" i="14"/>
  <c r="J10" i="18"/>
  <c r="G137" i="2"/>
  <c r="G30" i="14" s="1"/>
  <c r="G10" i="18"/>
  <c r="G28" i="14"/>
  <c r="F23" i="14"/>
  <c r="F134" i="2"/>
  <c r="C137" i="2" l="1"/>
  <c r="K124" i="10"/>
  <c r="AC124" i="10"/>
  <c r="C10" i="18"/>
  <c r="I137" i="2"/>
  <c r="I30" i="14" s="1"/>
  <c r="I28" i="14"/>
  <c r="I10" i="18"/>
  <c r="E23" i="14"/>
  <c r="O124" i="10"/>
  <c r="S124" i="10"/>
  <c r="R124" i="10"/>
  <c r="X124" i="10"/>
  <c r="AA124" i="10"/>
  <c r="N124" i="10"/>
  <c r="AF124" i="10"/>
  <c r="AD124" i="10"/>
  <c r="G124" i="10"/>
  <c r="Z124" i="10"/>
  <c r="M124" i="10"/>
  <c r="Y124" i="10"/>
  <c r="L124" i="10"/>
  <c r="Q124" i="10"/>
  <c r="U124" i="10"/>
  <c r="T124" i="10"/>
  <c r="AE124" i="10"/>
  <c r="D23" i="14"/>
  <c r="D134" i="2"/>
  <c r="J124" i="10"/>
  <c r="F10" i="18"/>
  <c r="F28" i="14"/>
  <c r="F137" i="2"/>
  <c r="F30" i="14" s="1"/>
  <c r="C30" i="14" l="1"/>
  <c r="E10" i="18"/>
  <c r="E28" i="14"/>
  <c r="E30" i="14"/>
  <c r="D10" i="18"/>
  <c r="D137" i="2"/>
  <c r="D28" i="14"/>
  <c r="D30" i="14" l="1"/>
  <c r="F37" i="14" l="1"/>
  <c r="F24" i="19"/>
  <c r="F36" i="14" s="1"/>
  <c r="F35" i="19" l="1"/>
  <c r="F38" i="14" s="1"/>
  <c r="AG13" i="2"/>
  <c r="AK15" i="2" l="1"/>
  <c r="AK17" i="2" s="1"/>
  <c r="AI15" i="2"/>
  <c r="AI17" i="2" s="1"/>
  <c r="AH15" i="2"/>
  <c r="AJ15" i="2"/>
  <c r="AJ17" i="2" s="1"/>
  <c r="AH17" i="2" l="1"/>
  <c r="AM15" i="2"/>
  <c r="C153" i="2"/>
  <c r="F68" i="18"/>
  <c r="F45" i="14" s="1"/>
</calcChain>
</file>

<file path=xl/sharedStrings.xml><?xml version="1.0" encoding="utf-8"?>
<sst xmlns="http://schemas.openxmlformats.org/spreadsheetml/2006/main" count="1097" uniqueCount="492">
  <si>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</si>
  <si>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</si>
  <si>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</si>
  <si>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</si>
  <si>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</si>
  <si>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</si>
  <si>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</si>
  <si>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</si>
  <si>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</si>
  <si>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Плановий рік (усього)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</si>
  <si>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</si>
  <si>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</si>
  <si>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</si>
  <si>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</si>
  <si>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</si>
  <si>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</si>
  <si>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</si>
  <si>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</si>
  <si>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</si>
  <si>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</si>
  <si>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</si>
  <si>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</si>
  <si>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</si>
  <si>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</si>
  <si>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</si>
  <si>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</si>
  <si>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</si>
  <si>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</si>
  <si>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</si>
  <si>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</si>
  <si>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</si>
  <si>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</si>
  <si>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</si>
  <si>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</si>
  <si>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</si>
  <si>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</si>
  <si>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</si>
  <si>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</si>
  <si>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</si>
  <si>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</si>
  <si>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</si>
  <si>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</si>
  <si>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</si>
  <si>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</si>
  <si>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</si>
  <si>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</si>
  <si>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</si>
  <si>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</si>
  <si>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</si>
  <si>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</si>
  <si>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</si>
  <si>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</si>
  <si>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</si>
  <si>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</si>
  <si>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</si>
  <si>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</si>
  <si>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</si>
  <si>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</si>
  <si>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</si>
  <si>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</si>
  <si>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</si>
  <si>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</si>
  <si>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</si>
  <si>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</si>
  <si>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</si>
  <si>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</si>
  <si>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</si>
  <si>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</si>
  <si>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</si>
  <si>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</si>
  <si>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</si>
  <si>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</si>
  <si>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</si>
  <si>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</si>
  <si>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</si>
  <si>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</si>
  <si>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</si>
  <si>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Заборгованість за кредитами на кінець ______ року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</si>
  <si>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</si>
  <si>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</si>
  <si>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</si>
  <si>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</si>
  <si>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</si>
  <si>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</si>
  <si>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</si>
  <si>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</si>
  <si>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</si>
  <si>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</si>
  <si>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</si>
  <si>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</si>
  <si>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</si>
  <si>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</si>
  <si>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</si>
  <si>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</si>
  <si>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</si>
  <si>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</si>
  <si>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</si>
  <si>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</si>
  <si>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</si>
  <si>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Усього витрат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</si>
  <si>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</si>
  <si>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</si>
  <si>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</si>
  <si>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</si>
  <si>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</si>
  <si>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</si>
  <si>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</si>
  <si>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</si>
  <si>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</si>
  <si>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</si>
  <si>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</si>
  <si>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</si>
  <si>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</si>
  <si>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</si>
  <si>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</si>
  <si>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</si>
  <si>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</si>
  <si>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</si>
  <si>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</si>
  <si>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</si>
  <si>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</si>
  <si>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</si>
  <si>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</si>
  <si>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</si>
  <si>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</si>
  <si>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</si>
  <si>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</si>
  <si>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</si>
  <si>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</si>
  <si>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</si>
  <si>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</si>
  <si>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</si>
  <si>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</si>
  <si>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</si>
  <si>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</si>
  <si>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</si>
  <si>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</si>
  <si>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</si>
  <si>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</si>
  <si>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</si>
  <si>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</si>
  <si>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</si>
  <si>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</si>
  <si>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</si>
  <si>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</si>
  <si>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</si>
  <si>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</si>
  <si>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</si>
  <si>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</si>
  <si>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</si>
  <si>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</si>
  <si>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</si>
  <si>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</si>
  <si>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</si>
  <si>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</si>
  <si>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</si>
  <si>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</si>
  <si>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</si>
  <si>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</si>
  <si>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</si>
  <si>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</si>
  <si>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</si>
  <si>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</si>
  <si>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</si>
  <si>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</si>
  <si>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</si>
  <si>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</si>
  <si>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</si>
  <si>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</si>
  <si>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</si>
  <si>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</si>
  <si>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</si>
  <si>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</si>
  <si>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</si>
  <si>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</si>
  <si>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Інші операційні доходи (розшифрувати), у тому числі:</t>
  </si>
  <si>
    <t>курсові різниці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</si>
  <si>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</si>
  <si>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</si>
  <si>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</si>
  <si>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</si>
  <si>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</si>
  <si>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</si>
  <si>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</si>
  <si>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</si>
  <si>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</si>
  <si>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</si>
  <si>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</si>
  <si>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</si>
  <si>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_________________________</t>
  </si>
  <si>
    <r>
      <t xml:space="preserve">Керівник </t>
    </r>
    <r>
      <rPr>
        <sz val="14"/>
        <rFont val="Times New Roman"/>
        <family val="1"/>
        <charset val="204"/>
      </rPr>
      <t xml:space="preserve"> __________________________________</t>
    </r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</si>
  <si>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</si>
  <si>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</si>
  <si>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</si>
  <si>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</si>
  <si>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</si>
  <si>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</si>
  <si>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</si>
  <si>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</si>
  <si>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</si>
  <si>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</si>
  <si>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</si>
  <si>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</si>
  <si>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</si>
  <si>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</si>
  <si>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(підпис)</t>
  </si>
  <si>
    <r>
      <t xml:space="preserve">Керівник </t>
    </r>
    <r>
      <rPr>
        <sz val="14"/>
        <rFont val="Times New Roman"/>
        <family val="1"/>
        <charset val="204"/>
      </rPr>
      <t>______________________________</t>
    </r>
  </si>
  <si>
    <t xml:space="preserve">                                     (посада)</t>
  </si>
  <si>
    <r>
      <t xml:space="preserve">Керівник </t>
    </r>
    <r>
      <rPr>
        <sz val="14"/>
        <rFont val="Times New Roman"/>
        <family val="1"/>
        <charset val="204"/>
      </rPr>
      <t>_______________________________</t>
    </r>
  </si>
  <si>
    <t xml:space="preserve">                                        (посада)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</si>
  <si>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</si>
  <si>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</si>
  <si>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</si>
  <si>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</si>
  <si>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</si>
  <si>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</si>
  <si>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</si>
  <si>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</si>
  <si>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</si>
  <si>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</si>
  <si>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</si>
  <si>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</si>
  <si>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</si>
  <si>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</si>
  <si>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</si>
  <si>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</si>
  <si>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</si>
  <si>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</si>
  <si>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</si>
  <si>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</si>
  <si>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</si>
  <si>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</si>
  <si>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</si>
  <si>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</si>
  <si>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</si>
  <si>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</si>
  <si>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>План з повернення коштів</t>
  </si>
  <si>
    <t>План із залучення коштів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</si>
  <si>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</si>
  <si>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</si>
  <si>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</si>
  <si>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</si>
  <si>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</si>
  <si>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</si>
  <si>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</si>
  <si>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</si>
  <si>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</si>
  <si>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</si>
  <si>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 xml:space="preserve">Плановий рік </t>
  </si>
  <si>
    <t>Сума, валюта за договорами</t>
  </si>
  <si>
    <t>Заборгованість за кредитами на початок _______року</t>
  </si>
  <si>
    <t>у тому числі за їх видами</t>
  </si>
  <si>
    <t xml:space="preserve">I </t>
  </si>
  <si>
    <t>II</t>
  </si>
  <si>
    <t>III</t>
  </si>
  <si>
    <t>IV</t>
  </si>
  <si>
    <t>I</t>
  </si>
  <si>
    <t>ФІНАНСОВИЙ ПЛАН КОМУНАЛЬНОГО ПІДПРИЄМСТВА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</si>
  <si>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</si>
  <si>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</si>
  <si>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</si>
  <si>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</si>
  <si>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</si>
  <si>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</si>
  <si>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</si>
  <si>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</si>
  <si>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</si>
  <si>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</si>
  <si>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</si>
  <si>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</si>
  <si>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</si>
  <si>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</si>
  <si>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 xml:space="preserve">      8.  Капітальне будівництво (рядок 4010 таблиці 4)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</si>
  <si>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</si>
  <si>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</si>
  <si>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</si>
  <si>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</si>
  <si>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</si>
  <si>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</si>
  <si>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</si>
  <si>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</si>
  <si>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</si>
  <si>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</si>
  <si>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</si>
  <si>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інші джерела (зазначити джерело)</t>
  </si>
  <si>
    <t>у тому числі</t>
  </si>
  <si>
    <t>тис.грн. (без ПДВ)</t>
  </si>
  <si>
    <t>Прогноз на поточний рік</t>
  </si>
  <si>
    <t xml:space="preserve">Зокрема за кварталами </t>
  </si>
  <si>
    <t>Плановий рік до прогнозу на поточний рік, %</t>
  </si>
  <si>
    <t>Фактичний показник поточного року за останній звітний період</t>
  </si>
  <si>
    <t>Фінансовий план поточного року</t>
  </si>
  <si>
    <t>План поточного року</t>
  </si>
  <si>
    <t>Плановий рік до факту минулого року, %</t>
  </si>
  <si>
    <t>Грошові кошти від операційної діяльності (розшифрувати)</t>
  </si>
  <si>
    <t>від надання платних послуг</t>
  </si>
  <si>
    <t>місцеві податки та збори (розшифрувати)(податок на землю та воду)</t>
  </si>
  <si>
    <t>інші платежі (розшифрувати)податок за метали</t>
  </si>
  <si>
    <t>Інші доходи (розшифрувати), у тому числі:бюджет розвитку</t>
  </si>
  <si>
    <t xml:space="preserve">Інші цілі (розшифрувати) Зміни </t>
  </si>
  <si>
    <t>комунальні послуги:</t>
  </si>
  <si>
    <t>в тому числі:</t>
  </si>
  <si>
    <t>опалення та гаряча вода</t>
  </si>
  <si>
    <t>водопостачання та водовідведення</t>
  </si>
  <si>
    <t>1058/1</t>
  </si>
  <si>
    <t>1058/2</t>
  </si>
  <si>
    <t>1058/11</t>
  </si>
  <si>
    <t>1058/12</t>
  </si>
  <si>
    <t>електроенергія</t>
  </si>
  <si>
    <t>субвенція з обласного бюджету на виконання обласної програми забезпечення трансплантованих хворих</t>
  </si>
  <si>
    <t>надходження від місцевого бюджету (крім надходжень на покриття вартості комунальних послуг та енергоносіїв, міських цільових програм)</t>
  </si>
  <si>
    <t>1011/1</t>
  </si>
  <si>
    <t>1012/1</t>
  </si>
  <si>
    <t>1012/2</t>
  </si>
  <si>
    <t>1012/3</t>
  </si>
  <si>
    <t>1012/4</t>
  </si>
  <si>
    <t>1012/5</t>
  </si>
  <si>
    <t>4050/1</t>
  </si>
  <si>
    <t>надання медичної допомоги за рахунок коштів від місцевого бюджету (крім надходжень на покриття вартості комунальних послуг та енергоносіїв, міських цільових програм)</t>
  </si>
  <si>
    <t>надання платних послуг</t>
  </si>
  <si>
    <t>1102/1</t>
  </si>
  <si>
    <t>1102/11</t>
  </si>
  <si>
    <t>1102/12</t>
  </si>
  <si>
    <t>1102/13</t>
  </si>
  <si>
    <t>1125/1</t>
  </si>
  <si>
    <t>1125/11</t>
  </si>
  <si>
    <t>1125/12</t>
  </si>
  <si>
    <t>1125/13</t>
  </si>
  <si>
    <t>1125/2</t>
  </si>
  <si>
    <t>1125/3</t>
  </si>
  <si>
    <t>1125/4</t>
  </si>
  <si>
    <t>1125/5</t>
  </si>
  <si>
    <t>В. М. Коротун</t>
  </si>
  <si>
    <t xml:space="preserve"> </t>
  </si>
  <si>
    <t>медична субвенція</t>
  </si>
  <si>
    <t>1012/6</t>
  </si>
  <si>
    <t>1012/7</t>
  </si>
  <si>
    <t>1012/8</t>
  </si>
  <si>
    <t>______________________________________</t>
  </si>
  <si>
    <t>дохід від оренди</t>
  </si>
  <si>
    <t>одержані гранти і дарунки, спонсорська і благодійна допомога</t>
  </si>
  <si>
    <t>дохід від реалізації майна та іншої господарської діяльності</t>
  </si>
  <si>
    <t>витрати на зв’язок та інтернет-послуги</t>
  </si>
  <si>
    <t>послуги з автомобільних перевезень</t>
  </si>
  <si>
    <t>послуги з прання і сухого чищення</t>
  </si>
  <si>
    <t>послуги з технічних випробувань, аналізу та консультування</t>
  </si>
  <si>
    <t>послуги з ремонту і технічного обслуговування медичного і високоточного обладнання</t>
  </si>
  <si>
    <t>послуги з ремонту і технічного обслуговування техніки</t>
  </si>
  <si>
    <t>ремонт, технічне обслуговування персональних комп’ютерів, офісного, телекомунікаційного та аудіовізуального обладнання, а також супутні послуги</t>
  </si>
  <si>
    <t>послуги у сфері розслідувань та охорони</t>
  </si>
  <si>
    <t>послуги пожежних і рятувальних служб</t>
  </si>
  <si>
    <t>технічне обслуговування ліфтів</t>
  </si>
  <si>
    <t>утилізація сміття та поводження зі сміттям</t>
  </si>
  <si>
    <t xml:space="preserve">міські цільові програми </t>
  </si>
  <si>
    <t>надходження на покриття вартості комунальних послуг та енергоносіїв</t>
  </si>
  <si>
    <t>договір НСЗУ</t>
  </si>
  <si>
    <t xml:space="preserve">витрати на сировину та основні матеріали </t>
  </si>
  <si>
    <t>комунальні послуги (адміністративні):</t>
  </si>
  <si>
    <t>комунальні послуги :</t>
  </si>
  <si>
    <r>
      <t>Керівник</t>
    </r>
    <r>
      <rPr>
        <sz val="14"/>
        <rFont val="Times New Roman"/>
        <family val="1"/>
        <charset val="204"/>
      </rPr>
      <t xml:space="preserve">   _____________________________________</t>
    </r>
  </si>
  <si>
    <t>Капітальний ремонт</t>
  </si>
  <si>
    <t>Реконструкція</t>
  </si>
  <si>
    <t>4050/2</t>
  </si>
  <si>
    <r>
      <t>кількість продукції/             наданих послуг, одиниця виміру (</t>
    </r>
    <r>
      <rPr>
        <sz val="14"/>
        <color indexed="12"/>
        <rFont val="Times New Roman"/>
        <family val="1"/>
        <charset val="204"/>
      </rPr>
      <t>осіб, ліжко-днів, відвідувань</t>
    </r>
    <r>
      <rPr>
        <sz val="14"/>
        <rFont val="Times New Roman"/>
        <family val="1"/>
        <charset val="204"/>
      </rPr>
      <t>)</t>
    </r>
  </si>
  <si>
    <t xml:space="preserve">надання медичної допомоги за рахунок коштів від медичної субвенції </t>
  </si>
  <si>
    <t>надання медичної допомоги за рахунок коштів від міського бюджету на міські цільові програми</t>
  </si>
  <si>
    <t xml:space="preserve">Міська Програма забезпечення туберкулінодіагностикою дитячого населення міста Черкаси </t>
  </si>
  <si>
    <t>Міська Програма забезпечення лікувальним харчуванням тяжкохворих та дітей, хворих на фенілкетонурію віком від 3 до 18 років</t>
  </si>
  <si>
    <t>Міська Програма "Репродуктивне здоров’я "</t>
  </si>
  <si>
    <t>Міська Програма забезпечення техногенної та пожежної безпеки на території м. Черкаси, захисту населення від надзвичайних ситуацій техногенного, природного, соціального, воєнного характеру</t>
  </si>
  <si>
    <t>Міська Програма "Розвиток паліативної допомоги"</t>
  </si>
  <si>
    <t>1012/21</t>
  </si>
  <si>
    <t>1012/22</t>
  </si>
  <si>
    <t>1012/23</t>
  </si>
  <si>
    <t>1012/24</t>
  </si>
  <si>
    <t>1012/25</t>
  </si>
  <si>
    <t>1012/26</t>
  </si>
  <si>
    <t>1012/27</t>
  </si>
  <si>
    <t>Бюджетне фінансування (бюджет розвитку)</t>
  </si>
  <si>
    <t>послуги сторонніх організацій</t>
  </si>
  <si>
    <t>1102/2</t>
  </si>
  <si>
    <t>1102/3</t>
  </si>
  <si>
    <t>1102/4</t>
  </si>
  <si>
    <t>відшкодування пільгових пенсій при достроковому виході на пенсію</t>
  </si>
  <si>
    <t>оплата послуг (крім комунальних)</t>
  </si>
  <si>
    <t>предмети, матеріали, обладнання та інвентар</t>
  </si>
  <si>
    <t>придбання обладнання і предметів довгострокового користування</t>
  </si>
  <si>
    <t>1125/6</t>
  </si>
  <si>
    <t>1125/</t>
  </si>
  <si>
    <t>1058/3</t>
  </si>
  <si>
    <t xml:space="preserve">інші адміністративні витрати (розшифрувати) </t>
  </si>
  <si>
    <t>інші операційні витрати (розшифрувати) (оренда)</t>
  </si>
  <si>
    <t xml:space="preserve">ПСЕР затвердж програмою на 2017 - 2019 р. </t>
  </si>
  <si>
    <t xml:space="preserve">компютера  </t>
  </si>
  <si>
    <t>кап. ремонт ліфтів</t>
  </si>
  <si>
    <t>факт ІІ кв</t>
  </si>
  <si>
    <t>факт 3 кв</t>
  </si>
  <si>
    <t>факт 4 кв</t>
  </si>
  <si>
    <r>
      <t xml:space="preserve">Міська Програма забезпечення ефективним лікуванням дітей, хворих на ЮРА, цистиноз, двобічну нейросенсорну глухоту та хворих на </t>
    </r>
    <r>
      <rPr>
        <i/>
        <sz val="14"/>
        <color rgb="FFFF0000"/>
        <rFont val="Times New Roman"/>
        <family val="1"/>
        <charset val="204"/>
      </rPr>
      <t xml:space="preserve">муковісцидоз </t>
    </r>
  </si>
  <si>
    <r>
      <t xml:space="preserve">Міська Програма забезпечення осіб з інвалідністю та дітей з інвалідністю </t>
    </r>
    <r>
      <rPr>
        <i/>
        <sz val="14"/>
        <color rgb="FFFF0000"/>
        <rFont val="Times New Roman"/>
        <family val="1"/>
        <charset val="204"/>
      </rPr>
      <t>технічними засобами</t>
    </r>
  </si>
  <si>
    <r>
      <t xml:space="preserve">медична субвенція з державного бюджету на здійснення переданих видатків у сфері охорони здоров'я (централізовані заходи з лікування хворих на </t>
    </r>
    <r>
      <rPr>
        <i/>
        <sz val="14"/>
        <color rgb="FFFF0000"/>
        <rFont val="Times New Roman"/>
        <family val="1"/>
        <charset val="204"/>
      </rPr>
      <t>цукровий та нецукровий діабет</t>
    </r>
    <r>
      <rPr>
        <i/>
        <sz val="14"/>
        <rFont val="Times New Roman"/>
        <family val="1"/>
        <charset val="204"/>
      </rPr>
      <t>)</t>
    </r>
  </si>
  <si>
    <r>
      <t xml:space="preserve">субвенція з державного бюджету на відшкодування вартості лікарських засобів для </t>
    </r>
    <r>
      <rPr>
        <i/>
        <sz val="14"/>
        <color rgb="FFFF0000"/>
        <rFont val="Times New Roman"/>
        <family val="1"/>
        <charset val="204"/>
      </rPr>
      <t>лікування окремих захворювань</t>
    </r>
  </si>
  <si>
    <r>
      <t xml:space="preserve">субвенція з обласного бюджету на виконання обласної програми надання медичної допомоги хворим </t>
    </r>
    <r>
      <rPr>
        <i/>
        <sz val="14"/>
        <color rgb="FFFF0000"/>
        <rFont val="Times New Roman"/>
        <family val="1"/>
        <charset val="204"/>
      </rPr>
      <t>нефрологічного профілю</t>
    </r>
  </si>
  <si>
    <t>1058/31</t>
  </si>
  <si>
    <t>1058/32</t>
  </si>
  <si>
    <t>1058/33</t>
  </si>
  <si>
    <t>1058/34</t>
  </si>
  <si>
    <t>1058/35</t>
  </si>
  <si>
    <t>1058/36</t>
  </si>
  <si>
    <t>1058/37</t>
  </si>
  <si>
    <t>1058/38</t>
  </si>
  <si>
    <t>1058/39</t>
  </si>
  <si>
    <t>1058/40</t>
  </si>
  <si>
    <t>1058/41</t>
  </si>
  <si>
    <t>1058/42</t>
  </si>
  <si>
    <t>1058/43</t>
  </si>
  <si>
    <t>1058/44</t>
  </si>
  <si>
    <t>1058/45</t>
  </si>
  <si>
    <t>1058/46</t>
  </si>
  <si>
    <t>послуги по проведенню лабораторних аналізів (стічні води)</t>
  </si>
  <si>
    <t>надання медичної допомоги хворим нефрологічного профілю</t>
  </si>
  <si>
    <t>послуги з програмного забезпечення</t>
  </si>
  <si>
    <t>послуги з виготовлення технічної документації</t>
  </si>
  <si>
    <t>обладнання</t>
  </si>
  <si>
    <t>2018 рік</t>
  </si>
  <si>
    <r>
      <t>Міська Програма забезпечення ефективним лікуванням дітей, хворих на ЮРА, цистиноз, двобічну нейросенсорну глухоту та хворих на</t>
    </r>
    <r>
      <rPr>
        <i/>
        <sz val="14"/>
        <color rgb="FFFF0000"/>
        <rFont val="Times New Roman"/>
        <family val="1"/>
        <charset val="204"/>
      </rPr>
      <t xml:space="preserve"> муковісцидоз </t>
    </r>
  </si>
  <si>
    <r>
      <t>надання медичної допомоги за рахунок коштів від субвенції з обласного бюджету на виконання обласної програми надання медичної допомоги хворим</t>
    </r>
    <r>
      <rPr>
        <sz val="14"/>
        <color rgb="FFFF0000"/>
        <rFont val="Times New Roman"/>
        <family val="1"/>
        <charset val="204"/>
      </rPr>
      <t xml:space="preserve"> нефрологічного профілю</t>
    </r>
  </si>
  <si>
    <r>
      <t xml:space="preserve">надання медичної допомоги за рахунок коштів від місцевого бюджету на покриття вартості комунальних </t>
    </r>
    <r>
      <rPr>
        <sz val="14"/>
        <color rgb="FFFF0000"/>
        <rFont val="Times New Roman"/>
        <family val="1"/>
        <charset val="204"/>
      </rPr>
      <t>послуг та енергоносіїв</t>
    </r>
  </si>
  <si>
    <r>
      <t>надання медичної допомоги за рахунок коштів від субвенції з державного бюджету на відшкодування вартості лікарських засобів для лікування</t>
    </r>
    <r>
      <rPr>
        <sz val="14"/>
        <color rgb="FFFF0000"/>
        <rFont val="Times New Roman"/>
        <family val="1"/>
        <charset val="204"/>
      </rPr>
      <t xml:space="preserve"> окремих захворювань</t>
    </r>
  </si>
  <si>
    <r>
      <t>надання медичної допомоги за рахунок коштів від медичної субвенції з державного бюджету на здійснення переданих видатків у сфері охорони здоров'я (централізовані заходи з лікування хворих на цукровий та</t>
    </r>
    <r>
      <rPr>
        <sz val="14"/>
        <color rgb="FFFF0000"/>
        <rFont val="Times New Roman"/>
        <family val="1"/>
        <charset val="204"/>
      </rPr>
      <t xml:space="preserve"> нецукровий діабет)</t>
    </r>
  </si>
  <si>
    <r>
      <t>надання медичної допомоги за рахунок коштів від державного бюджету по договору з</t>
    </r>
    <r>
      <rPr>
        <sz val="14"/>
        <color rgb="FFFF0000"/>
        <rFont val="Times New Roman"/>
        <family val="1"/>
        <charset val="204"/>
      </rPr>
      <t xml:space="preserve"> НСЗУ</t>
    </r>
  </si>
  <si>
    <t>адмін</t>
  </si>
  <si>
    <t>собівартість</t>
  </si>
  <si>
    <t xml:space="preserve">послуги по проведенню лабораторних  досліджень  </t>
  </si>
  <si>
    <t>ПСЕР</t>
  </si>
  <si>
    <t xml:space="preserve"> 2018р</t>
  </si>
  <si>
    <t>факт І кв</t>
  </si>
  <si>
    <t>рік</t>
  </si>
  <si>
    <t xml:space="preserve"> 4 кв- план</t>
  </si>
  <si>
    <t>план</t>
  </si>
  <si>
    <t>4 кв</t>
  </si>
  <si>
    <t xml:space="preserve"> І кв</t>
  </si>
  <si>
    <t xml:space="preserve"> ІІ кв</t>
  </si>
  <si>
    <t>3 кв</t>
  </si>
  <si>
    <t xml:space="preserve"> 4 кв</t>
  </si>
  <si>
    <t>І кв</t>
  </si>
  <si>
    <t>ФАКТ</t>
  </si>
  <si>
    <t>"Перший Черкаський міський ЦПМСД"</t>
  </si>
  <si>
    <t>КНП  "Перший Черкаський міський ЦПМСД"</t>
  </si>
  <si>
    <t>придбання  предметів довгострокового користування КНП  "Перший міський  ЦПМСД"</t>
  </si>
  <si>
    <t>Капіталикий ремонт  будівлі КНП  "Перший міський  ЦПМСД"</t>
  </si>
  <si>
    <t xml:space="preserve">              Керівник </t>
  </si>
  <si>
    <t xml:space="preserve">              (посада)</t>
  </si>
  <si>
    <t xml:space="preserve"> 2019р</t>
  </si>
  <si>
    <t>Кар. Ремонт  2-го поверху</t>
  </si>
  <si>
    <t>Кар. Ремонт вузла підвищ. Тиску</t>
  </si>
  <si>
    <t>Кар. Ремонт протипожежна сигналіз.</t>
  </si>
  <si>
    <t>2020  план  ПСЕР</t>
  </si>
  <si>
    <r>
      <t xml:space="preserve">Фактичний показник за </t>
    </r>
    <r>
      <rPr>
        <u/>
        <sz val="14"/>
        <color indexed="12"/>
        <rFont val="Times New Roman"/>
        <family val="1"/>
        <charset val="204"/>
      </rPr>
      <t>2018</t>
    </r>
    <r>
      <rPr>
        <sz val="14"/>
        <rFont val="Times New Roman"/>
        <family val="1"/>
        <charset val="204"/>
      </rPr>
      <t>рік (минулий рік)</t>
    </r>
  </si>
  <si>
    <r>
      <t xml:space="preserve">Плановий показник поточного </t>
    </r>
    <r>
      <rPr>
        <u/>
        <sz val="14"/>
        <color indexed="12"/>
        <rFont val="Times New Roman"/>
        <family val="1"/>
        <charset val="204"/>
      </rPr>
      <t>2019</t>
    </r>
    <r>
      <rPr>
        <sz val="14"/>
        <rFont val="Times New Roman"/>
        <family val="1"/>
        <charset val="204"/>
      </rPr>
      <t xml:space="preserve"> року</t>
    </r>
  </si>
  <si>
    <r>
      <t>Плановий</t>
    </r>
    <r>
      <rPr>
        <u/>
        <sz val="14"/>
        <color indexed="12"/>
        <rFont val="Times New Roman"/>
        <family val="1"/>
        <charset val="204"/>
      </rPr>
      <t xml:space="preserve">_2020 </t>
    </r>
    <r>
      <rPr>
        <sz val="14"/>
        <rFont val="Times New Roman"/>
        <family val="1"/>
        <charset val="204"/>
      </rPr>
      <t>року</t>
    </r>
  </si>
  <si>
    <t>до фінансового плану на 2020 рік</t>
  </si>
  <si>
    <t>на 2020 рік</t>
  </si>
  <si>
    <t>Капіт. Ремонт сигналізація</t>
  </si>
  <si>
    <t>фак 9 міс</t>
  </si>
  <si>
    <t>комуналка</t>
  </si>
  <si>
    <t>з/п</t>
  </si>
  <si>
    <t>1058/47</t>
  </si>
  <si>
    <t>1058/48</t>
  </si>
  <si>
    <t>1058/49</t>
  </si>
  <si>
    <t>ІІ</t>
  </si>
  <si>
    <t>ІІІ</t>
  </si>
  <si>
    <t>І</t>
  </si>
  <si>
    <t>6 міс</t>
  </si>
  <si>
    <t>9 міс</t>
  </si>
  <si>
    <t>інші поточні видатки  (податок на землю)(ПДВ)</t>
  </si>
  <si>
    <t>Декларації</t>
  </si>
  <si>
    <t>сума</t>
  </si>
  <si>
    <t>перераховано</t>
  </si>
  <si>
    <t>2019 уточ</t>
  </si>
  <si>
    <t>прогноз 2019</t>
  </si>
  <si>
    <t>факт</t>
  </si>
  <si>
    <t>забезпечення трансплантованих хворих</t>
  </si>
  <si>
    <t>послуга з установлення конденціонерів</t>
  </si>
  <si>
    <t>послуги з навчання</t>
  </si>
  <si>
    <t>рядки 2120+2146= фін.результ.рядок 1125/4</t>
  </si>
  <si>
    <t>собівар</t>
  </si>
  <si>
    <t>зарплата</t>
  </si>
  <si>
    <t>Інші витрати (розшифрувати), у тому числі: (бюджет розвитку)</t>
  </si>
  <si>
    <r>
      <t xml:space="preserve">надання медичної допомоги за рахунок коштів від субвенції з обласного бюджету на виконання обласної програми забезпечення </t>
    </r>
    <r>
      <rPr>
        <sz val="14"/>
        <color rgb="FFFF0000"/>
        <rFont val="Times New Roman"/>
        <family val="1"/>
        <charset val="204"/>
      </rPr>
      <t>трансплантованих хворих</t>
    </r>
  </si>
  <si>
    <t>кап.рем псер</t>
  </si>
  <si>
    <t>чистий прибуток - баланс гл.бух.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</si>
</sst>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_г_р_н_._-;\-* #,##0.00\ _г_р_н_._-;_-* &quot;-&quot;??\ _г_р_н_.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dd\.mm\.yyyy;@"/>
    <numFmt numFmtId="179" formatCode="0.000"/>
    <numFmt numFmtId="180" formatCode="0.000000"/>
  </numFmts>
  <fonts count="10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6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9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2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67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7" fontId="66" fillId="22" borderId="12" applyFill="0" applyBorder="0">
      <alignment horizontal="center" vertical="center" wrapText="1"/>
      <protection locked="0"/>
    </xf>
    <xf numFmtId="172" fontId="67" fillId="0" borderId="0">
      <alignment wrapText="1"/>
    </xf>
    <xf numFmtId="172" fontId="34" fillId="0" borderId="0">
      <alignment wrapText="1"/>
    </xf>
  </cellStyleXfs>
  <cellXfs count="838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0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 wrapText="1"/>
    </xf>
    <xf numFmtId="0" fontId="5" fillId="0" borderId="0" xfId="248" applyFont="1" applyFill="1" applyBorder="1" applyAlignment="1">
      <alignment vertical="center"/>
    </xf>
    <xf numFmtId="0" fontId="5" fillId="0" borderId="3" xfId="248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vertical="center"/>
    </xf>
    <xf numFmtId="0" fontId="5" fillId="0" borderId="0" xfId="248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13" fillId="0" borderId="0" xfId="248" applyFont="1" applyFill="1"/>
    <xf numFmtId="0" fontId="5" fillId="0" borderId="0" xfId="248" applyFont="1" applyFill="1" applyBorder="1" applyAlignment="1">
      <alignment vertical="center" wrapText="1"/>
    </xf>
    <xf numFmtId="171" fontId="5" fillId="0" borderId="0" xfId="248" applyNumberFormat="1" applyFont="1" applyFill="1" applyBorder="1" applyAlignment="1">
      <alignment horizontal="center" vertical="center" wrapText="1"/>
    </xf>
    <xf numFmtId="171" fontId="5" fillId="0" borderId="0" xfId="248" applyNumberFormat="1" applyFont="1" applyFill="1" applyBorder="1" applyAlignment="1">
      <alignment horizontal="right" vertical="center" wrapText="1"/>
    </xf>
    <xf numFmtId="0" fontId="5" fillId="0" borderId="0" xfId="248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248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left" vertical="center" wrapText="1"/>
    </xf>
    <xf numFmtId="0" fontId="4" fillId="26" borderId="3" xfId="248" applyFont="1" applyFill="1" applyBorder="1" applyAlignment="1">
      <alignment horizontal="left" vertical="center" wrapText="1"/>
    </xf>
    <xf numFmtId="0" fontId="4" fillId="26" borderId="3" xfId="248" applyFont="1" applyFill="1" applyBorder="1" applyAlignment="1">
      <alignment horizontal="center" vertical="center" wrapText="1"/>
    </xf>
    <xf numFmtId="0" fontId="4" fillId="26" borderId="0" xfId="248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3" xfId="0" quotePrefix="1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4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171" fontId="4" fillId="26" borderId="3" xfId="0" quotePrefix="1" applyNumberFormat="1" applyFont="1" applyFill="1" applyBorder="1" applyAlignment="1">
      <alignment horizontal="center" vertical="center" wrapText="1"/>
    </xf>
    <xf numFmtId="171" fontId="4" fillId="26" borderId="3" xfId="0" applyNumberFormat="1" applyFont="1" applyFill="1" applyBorder="1" applyAlignment="1">
      <alignment horizontal="center" vertical="center" wrapText="1"/>
    </xf>
    <xf numFmtId="171" fontId="4" fillId="0" borderId="3" xfId="248" applyNumberFormat="1" applyFont="1" applyFill="1" applyBorder="1" applyAlignment="1">
      <alignment horizontal="center" vertical="center" wrapText="1"/>
    </xf>
    <xf numFmtId="171" fontId="4" fillId="26" borderId="3" xfId="248" applyNumberFormat="1" applyFont="1" applyFill="1" applyBorder="1" applyAlignment="1">
      <alignment horizontal="center" vertical="center" wrapText="1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0" fontId="4" fillId="26" borderId="3" xfId="0" applyFont="1" applyFill="1" applyBorder="1" applyAlignment="1">
      <alignment horizontal="center" vertical="center"/>
    </xf>
    <xf numFmtId="171" fontId="5" fillId="0" borderId="3" xfId="248" applyNumberFormat="1" applyFont="1" applyFill="1" applyBorder="1" applyAlignment="1">
      <alignment horizontal="center" vertical="center" wrapText="1"/>
    </xf>
    <xf numFmtId="171" fontId="6" fillId="0" borderId="3" xfId="248" applyNumberFormat="1" applyFont="1" applyFill="1" applyBorder="1" applyAlignment="1">
      <alignment horizontal="center" vertical="center" wrapText="1"/>
    </xf>
    <xf numFmtId="171" fontId="5" fillId="0" borderId="3" xfId="248" quotePrefix="1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171" fontId="5" fillId="29" borderId="3" xfId="0" applyNumberFormat="1" applyFont="1" applyFill="1" applyBorder="1" applyAlignment="1">
      <alignment horizontal="center" vertical="center" wrapText="1"/>
    </xf>
    <xf numFmtId="3" fontId="74" fillId="0" borderId="0" xfId="0" applyNumberFormat="1" applyFont="1" applyFill="1" applyBorder="1" applyAlignment="1">
      <alignment horizontal="center" vertical="center" wrapText="1"/>
    </xf>
    <xf numFmtId="4" fontId="74" fillId="0" borderId="0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vertical="center"/>
    </xf>
    <xf numFmtId="49" fontId="6" fillId="29" borderId="3" xfId="0" applyNumberFormat="1" applyFont="1" applyFill="1" applyBorder="1" applyAlignment="1">
      <alignment horizontal="left" vertical="center" wrapText="1"/>
    </xf>
    <xf numFmtId="0" fontId="5" fillId="29" borderId="0" xfId="0" applyFont="1" applyFill="1" applyBorder="1" applyAlignment="1">
      <alignment vertical="center"/>
    </xf>
    <xf numFmtId="0" fontId="5" fillId="29" borderId="0" xfId="0" applyFont="1" applyFill="1" applyAlignment="1">
      <alignment vertical="center"/>
    </xf>
    <xf numFmtId="171" fontId="5" fillId="29" borderId="3" xfId="248" applyNumberFormat="1" applyFont="1" applyFill="1" applyBorder="1" applyAlignment="1">
      <alignment horizontal="center" vertical="center" wrapText="1"/>
    </xf>
    <xf numFmtId="171" fontId="6" fillId="29" borderId="3" xfId="248" applyNumberFormat="1" applyFont="1" applyFill="1" applyBorder="1" applyAlignment="1">
      <alignment horizontal="center" vertical="center" wrapText="1"/>
    </xf>
    <xf numFmtId="0" fontId="5" fillId="29" borderId="0" xfId="248" applyFont="1" applyFill="1" applyBorder="1" applyAlignment="1">
      <alignment vertical="center"/>
    </xf>
    <xf numFmtId="0" fontId="4" fillId="29" borderId="0" xfId="248" applyFont="1" applyFill="1" applyBorder="1" applyAlignment="1">
      <alignment vertical="center"/>
    </xf>
    <xf numFmtId="0" fontId="75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center"/>
    </xf>
    <xf numFmtId="2" fontId="74" fillId="0" borderId="0" xfId="0" applyNumberFormat="1" applyFont="1" applyFill="1" applyBorder="1" applyAlignment="1">
      <alignment horizontal="center" vertical="center"/>
    </xf>
    <xf numFmtId="1" fontId="74" fillId="0" borderId="0" xfId="0" applyNumberFormat="1" applyFont="1" applyFill="1" applyAlignment="1">
      <alignment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Alignment="1">
      <alignment vertical="center"/>
    </xf>
    <xf numFmtId="171" fontId="5" fillId="29" borderId="0" xfId="0" applyNumberFormat="1" applyFont="1" applyFill="1" applyAlignment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>
      <alignment horizontal="left" vertical="center" wrapText="1"/>
    </xf>
    <xf numFmtId="0" fontId="4" fillId="30" borderId="3" xfId="0" quotePrefix="1" applyFont="1" applyFill="1" applyBorder="1" applyAlignment="1">
      <alignment horizontal="center" vertical="center"/>
    </xf>
    <xf numFmtId="170" fontId="4" fillId="30" borderId="3" xfId="0" quotePrefix="1" applyNumberFormat="1" applyFont="1" applyFill="1" applyBorder="1" applyAlignment="1">
      <alignment horizontal="center" vertical="center" wrapText="1"/>
    </xf>
    <xf numFmtId="170" fontId="4" fillId="30" borderId="3" xfId="0" applyNumberFormat="1" applyFont="1" applyFill="1" applyBorder="1" applyAlignment="1">
      <alignment horizontal="center" vertical="center" wrapText="1"/>
    </xf>
    <xf numFmtId="0" fontId="4" fillId="31" borderId="3" xfId="0" quotePrefix="1" applyFont="1" applyFill="1" applyBorder="1" applyAlignment="1">
      <alignment horizontal="center" vertical="center"/>
    </xf>
    <xf numFmtId="170" fontId="4" fillId="31" borderId="3" xfId="0" applyNumberFormat="1" applyFont="1" applyFill="1" applyBorder="1" applyAlignment="1">
      <alignment horizontal="center" vertical="center" wrapText="1"/>
    </xf>
    <xf numFmtId="0" fontId="4" fillId="32" borderId="3" xfId="0" quotePrefix="1" applyFont="1" applyFill="1" applyBorder="1" applyAlignment="1">
      <alignment horizontal="center" vertical="center"/>
    </xf>
    <xf numFmtId="170" fontId="4" fillId="32" borderId="3" xfId="0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>
      <alignment horizontal="left" vertical="center" wrapText="1" shrinkToFit="1"/>
    </xf>
    <xf numFmtId="171" fontId="4" fillId="32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vertical="center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171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/>
    </xf>
    <xf numFmtId="171" fontId="4" fillId="0" borderId="0" xfId="0" quotePrefix="1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4" fillId="31" borderId="3" xfId="0" applyFont="1" applyFill="1" applyBorder="1" applyAlignment="1">
      <alignment horizontal="left" vertical="center" wrapText="1"/>
    </xf>
    <xf numFmtId="0" fontId="4" fillId="31" borderId="3" xfId="0" applyFont="1" applyFill="1" applyBorder="1" applyAlignment="1">
      <alignment horizontal="center" vertical="center" wrapText="1"/>
    </xf>
    <xf numFmtId="170" fontId="4" fillId="33" borderId="3" xfId="0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left" vertical="center" wrapText="1"/>
    </xf>
    <xf numFmtId="0" fontId="5" fillId="33" borderId="3" xfId="0" quotePrefix="1" applyFont="1" applyFill="1" applyBorder="1" applyAlignment="1">
      <alignment horizontal="center" vertical="center"/>
    </xf>
    <xf numFmtId="170" fontId="5" fillId="33" borderId="3" xfId="0" applyNumberFormat="1" applyFont="1" applyFill="1" applyBorder="1" applyAlignment="1">
      <alignment horizontal="center" vertical="center" wrapText="1"/>
    </xf>
    <xf numFmtId="170" fontId="4" fillId="31" borderId="3" xfId="0" quotePrefix="1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quotePrefix="1" applyFont="1" applyFill="1" applyBorder="1" applyAlignment="1">
      <alignment horizontal="center" vertical="center"/>
    </xf>
    <xf numFmtId="170" fontId="5" fillId="31" borderId="3" xfId="0" applyNumberFormat="1" applyFont="1" applyFill="1" applyBorder="1" applyAlignment="1">
      <alignment horizontal="center" vertical="center" wrapText="1"/>
    </xf>
    <xf numFmtId="170" fontId="5" fillId="31" borderId="3" xfId="0" quotePrefix="1" applyNumberFormat="1" applyFont="1" applyFill="1" applyBorder="1" applyAlignment="1">
      <alignment horizontal="center" vertical="center" wrapText="1"/>
    </xf>
    <xf numFmtId="49" fontId="6" fillId="33" borderId="3" xfId="0" applyNumberFormat="1" applyFont="1" applyFill="1" applyBorder="1" applyAlignment="1">
      <alignment horizontal="left" vertical="center" wrapText="1"/>
    </xf>
    <xf numFmtId="49" fontId="5" fillId="33" borderId="3" xfId="0" applyNumberFormat="1" applyFont="1" applyFill="1" applyBorder="1" applyAlignment="1">
      <alignment horizontal="left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170" fontId="6" fillId="0" borderId="3" xfId="0" quotePrefix="1" applyNumberFormat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6" fillId="33" borderId="3" xfId="0" quotePrefix="1" applyFont="1" applyFill="1" applyBorder="1" applyAlignment="1">
      <alignment horizontal="center" vertical="center"/>
    </xf>
    <xf numFmtId="170" fontId="6" fillId="33" borderId="3" xfId="0" applyNumberFormat="1" applyFont="1" applyFill="1" applyBorder="1" applyAlignment="1">
      <alignment horizontal="center" vertical="center" wrapText="1"/>
    </xf>
    <xf numFmtId="170" fontId="6" fillId="33" borderId="3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70" fontId="68" fillId="0" borderId="3" xfId="0" applyNumberFormat="1" applyFont="1" applyFill="1" applyBorder="1" applyAlignment="1">
      <alignment horizontal="center" vertical="center" wrapText="1"/>
    </xf>
    <xf numFmtId="170" fontId="69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170" fontId="6" fillId="0" borderId="3" xfId="0" quotePrefix="1" applyNumberFormat="1" applyFont="1" applyFill="1" applyBorder="1" applyAlignment="1">
      <alignment horizontal="center" vertical="center"/>
    </xf>
    <xf numFmtId="0" fontId="5" fillId="33" borderId="3" xfId="0" quotePrefix="1" applyNumberFormat="1" applyFont="1" applyFill="1" applyBorder="1" applyAlignment="1">
      <alignment horizontal="center" vertical="center" wrapText="1"/>
    </xf>
    <xf numFmtId="171" fontId="5" fillId="33" borderId="3" xfId="0" quotePrefix="1" applyNumberFormat="1" applyFont="1" applyFill="1" applyBorder="1" applyAlignment="1">
      <alignment horizontal="center" vertical="center" wrapText="1"/>
    </xf>
    <xf numFmtId="171" fontId="5" fillId="33" borderId="3" xfId="0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vertical="center" wrapText="1"/>
    </xf>
    <xf numFmtId="0" fontId="5" fillId="33" borderId="3" xfId="0" applyFont="1" applyFill="1" applyBorder="1" applyAlignment="1">
      <alignment horizontal="center" vertical="center"/>
    </xf>
    <xf numFmtId="3" fontId="5" fillId="33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 wrapText="1"/>
    </xf>
    <xf numFmtId="1" fontId="5" fillId="0" borderId="3" xfId="0" applyNumberFormat="1" applyFont="1" applyFill="1" applyBorder="1" applyAlignment="1">
      <alignment horizontal="right" vertical="center" wrapText="1"/>
    </xf>
    <xf numFmtId="0" fontId="74" fillId="0" borderId="3" xfId="0" applyFont="1" applyFill="1" applyBorder="1" applyAlignment="1">
      <alignment horizontal="right" vertical="center" wrapText="1"/>
    </xf>
    <xf numFmtId="1" fontId="7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 shrinkToFit="1"/>
    </xf>
    <xf numFmtId="49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 indent="6"/>
    </xf>
    <xf numFmtId="0" fontId="7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left" vertical="center"/>
    </xf>
    <xf numFmtId="0" fontId="5" fillId="33" borderId="0" xfId="0" applyFont="1" applyFill="1" applyAlignment="1">
      <alignment vertical="center"/>
    </xf>
    <xf numFmtId="0" fontId="7" fillId="33" borderId="0" xfId="0" applyFont="1" applyFill="1" applyAlignment="1">
      <alignment horizontal="center" vertical="center"/>
    </xf>
    <xf numFmtId="3" fontId="4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70" fontId="4" fillId="32" borderId="3" xfId="0" quotePrefix="1" applyNumberFormat="1" applyFont="1" applyFill="1" applyBorder="1" applyAlignment="1">
      <alignment horizontal="center" vertical="center" wrapText="1"/>
    </xf>
    <xf numFmtId="170" fontId="6" fillId="29" borderId="3" xfId="0" applyNumberFormat="1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left" vertical="center"/>
    </xf>
    <xf numFmtId="0" fontId="78" fillId="0" borderId="13" xfId="0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4" fillId="33" borderId="0" xfId="0" applyFont="1" applyFill="1" applyAlignment="1">
      <alignment vertical="center"/>
    </xf>
    <xf numFmtId="0" fontId="68" fillId="29" borderId="0" xfId="0" applyFont="1" applyFill="1" applyBorder="1" applyAlignment="1">
      <alignment vertical="center"/>
    </xf>
    <xf numFmtId="170" fontId="6" fillId="29" borderId="0" xfId="0" applyNumberFormat="1" applyFont="1" applyFill="1" applyBorder="1" applyAlignment="1">
      <alignment horizontal="center" vertical="center" wrapText="1"/>
    </xf>
    <xf numFmtId="170" fontId="4" fillId="29" borderId="3" xfId="0" applyNumberFormat="1" applyFont="1" applyFill="1" applyBorder="1" applyAlignment="1">
      <alignment horizontal="center" vertical="center" wrapText="1"/>
    </xf>
    <xf numFmtId="49" fontId="74" fillId="0" borderId="3" xfId="0" applyNumberFormat="1" applyFont="1" applyFill="1" applyBorder="1" applyAlignment="1">
      <alignment horizontal="left" vertical="center" wrapText="1"/>
    </xf>
    <xf numFmtId="170" fontId="5" fillId="0" borderId="3" xfId="0" applyNumberFormat="1" applyFont="1" applyFill="1" applyBorder="1" applyAlignment="1">
      <alignment vertical="center"/>
    </xf>
    <xf numFmtId="170" fontId="5" fillId="0" borderId="0" xfId="0" applyNumberFormat="1" applyFont="1" applyFill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71" fontId="4" fillId="29" borderId="3" xfId="0" quotePrefix="1" applyNumberFormat="1" applyFont="1" applyFill="1" applyBorder="1" applyAlignment="1">
      <alignment horizontal="center" vertical="center" wrapText="1"/>
    </xf>
    <xf numFmtId="170" fontId="5" fillId="29" borderId="3" xfId="0" applyNumberFormat="1" applyFont="1" applyFill="1" applyBorder="1" applyAlignment="1">
      <alignment horizontal="center" vertical="center" wrapText="1"/>
    </xf>
    <xf numFmtId="170" fontId="4" fillId="29" borderId="3" xfId="0" quotePrefix="1" applyNumberFormat="1" applyFont="1" applyFill="1" applyBorder="1" applyAlignment="1">
      <alignment horizontal="center" vertical="center" wrapText="1"/>
    </xf>
    <xf numFmtId="170" fontId="4" fillId="29" borderId="0" xfId="0" applyNumberFormat="1" applyFont="1" applyFill="1" applyBorder="1" applyAlignment="1">
      <alignment horizontal="center" vertical="center" wrapText="1"/>
    </xf>
    <xf numFmtId="170" fontId="4" fillId="29" borderId="0" xfId="0" quotePrefix="1" applyNumberFormat="1" applyFont="1" applyFill="1" applyBorder="1" applyAlignment="1">
      <alignment horizontal="center" vertical="center" wrapText="1"/>
    </xf>
    <xf numFmtId="170" fontId="5" fillId="29" borderId="0" xfId="0" applyNumberFormat="1" applyFont="1" applyFill="1" applyBorder="1" applyAlignment="1">
      <alignment horizontal="center" vertical="center" wrapText="1"/>
    </xf>
    <xf numFmtId="0" fontId="6" fillId="29" borderId="0" xfId="0" applyFont="1" applyFill="1" applyBorder="1" applyAlignment="1">
      <alignment vertical="center"/>
    </xf>
    <xf numFmtId="171" fontId="4" fillId="29" borderId="0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78" fillId="29" borderId="0" xfId="0" applyFont="1" applyFill="1" applyBorder="1" applyAlignment="1">
      <alignment vertical="center"/>
    </xf>
    <xf numFmtId="0" fontId="74" fillId="29" borderId="0" xfId="0" applyFont="1" applyFill="1" applyBorder="1" applyAlignment="1">
      <alignment vertical="center"/>
    </xf>
    <xf numFmtId="0" fontId="76" fillId="29" borderId="0" xfId="0" applyFont="1" applyFill="1" applyBorder="1" applyAlignment="1">
      <alignment vertical="center"/>
    </xf>
    <xf numFmtId="170" fontId="68" fillId="29" borderId="3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vertical="center"/>
    </xf>
    <xf numFmtId="170" fontId="5" fillId="29" borderId="3" xfId="0" quotePrefix="1" applyNumberFormat="1" applyFont="1" applyFill="1" applyBorder="1" applyAlignment="1">
      <alignment horizontal="center" vertical="center" wrapText="1"/>
    </xf>
    <xf numFmtId="0" fontId="6" fillId="29" borderId="3" xfId="0" applyFont="1" applyFill="1" applyBorder="1" applyAlignment="1">
      <alignment horizontal="center" vertical="center"/>
    </xf>
    <xf numFmtId="0" fontId="4" fillId="32" borderId="3" xfId="0" applyFont="1" applyFill="1" applyBorder="1" applyAlignment="1">
      <alignment horizontal="center" vertical="center"/>
    </xf>
    <xf numFmtId="171" fontId="5" fillId="36" borderId="3" xfId="0" quotePrefix="1" applyNumberFormat="1" applyFont="1" applyFill="1" applyBorder="1" applyAlignment="1">
      <alignment horizontal="center" vertical="center" wrapText="1"/>
    </xf>
    <xf numFmtId="171" fontId="5" fillId="36" borderId="3" xfId="0" applyNumberFormat="1" applyFont="1" applyFill="1" applyBorder="1" applyAlignment="1">
      <alignment horizontal="center" vertical="center" wrapText="1"/>
    </xf>
    <xf numFmtId="170" fontId="69" fillId="29" borderId="3" xfId="0" applyNumberFormat="1" applyFont="1" applyFill="1" applyBorder="1" applyAlignment="1">
      <alignment horizontal="center" vertical="center" wrapText="1"/>
    </xf>
    <xf numFmtId="170" fontId="9" fillId="29" borderId="3" xfId="0" applyNumberFormat="1" applyFont="1" applyFill="1" applyBorder="1" applyAlignment="1">
      <alignment horizontal="center" vertical="center" wrapText="1"/>
    </xf>
    <xf numFmtId="170" fontId="78" fillId="0" borderId="0" xfId="0" applyNumberFormat="1" applyFont="1" applyFill="1" applyBorder="1" applyAlignment="1">
      <alignment vertical="center"/>
    </xf>
    <xf numFmtId="0" fontId="83" fillId="0" borderId="0" xfId="0" applyFont="1" applyFill="1" applyBorder="1" applyAlignment="1">
      <alignment horizontal="left" vertical="center" wrapText="1"/>
    </xf>
    <xf numFmtId="0" fontId="83" fillId="0" borderId="0" xfId="0" quotePrefix="1" applyFont="1" applyFill="1" applyBorder="1" applyAlignment="1">
      <alignment horizontal="center"/>
    </xf>
    <xf numFmtId="171" fontId="83" fillId="0" borderId="0" xfId="0" quotePrefix="1" applyNumberFormat="1" applyFont="1" applyFill="1" applyBorder="1" applyAlignment="1">
      <alignment horizontal="center"/>
    </xf>
    <xf numFmtId="0" fontId="83" fillId="29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0" fontId="9" fillId="29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0" fontId="5" fillId="0" borderId="3" xfId="0" quotePrefix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9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1" fontId="5" fillId="0" borderId="0" xfId="248" applyNumberFormat="1" applyFont="1" applyFill="1" applyBorder="1" applyAlignment="1">
      <alignment vertical="center"/>
    </xf>
    <xf numFmtId="171" fontId="4" fillId="0" borderId="0" xfId="248" applyNumberFormat="1" applyFont="1" applyFill="1" applyBorder="1" applyAlignment="1">
      <alignment vertical="center"/>
    </xf>
    <xf numFmtId="171" fontId="5" fillId="29" borderId="0" xfId="248" applyNumberFormat="1" applyFont="1" applyFill="1" applyBorder="1" applyAlignment="1">
      <alignment vertical="center"/>
    </xf>
    <xf numFmtId="171" fontId="4" fillId="29" borderId="0" xfId="248" applyNumberFormat="1" applyFont="1" applyFill="1" applyBorder="1" applyAlignment="1">
      <alignment vertical="center"/>
    </xf>
    <xf numFmtId="171" fontId="4" fillId="26" borderId="0" xfId="248" applyNumberFormat="1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vertical="center"/>
    </xf>
    <xf numFmtId="171" fontId="5" fillId="0" borderId="0" xfId="248" applyNumberFormat="1" applyFont="1" applyFill="1" applyBorder="1" applyAlignment="1">
      <alignment horizontal="center" vertical="center"/>
    </xf>
    <xf numFmtId="0" fontId="5" fillId="29" borderId="3" xfId="248" applyFont="1" applyFill="1" applyBorder="1" applyAlignment="1">
      <alignment horizontal="left" vertical="center" wrapText="1"/>
    </xf>
    <xf numFmtId="0" fontId="5" fillId="29" borderId="3" xfId="248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0" fontId="77" fillId="0" borderId="23" xfId="0" applyFont="1" applyFill="1" applyBorder="1" applyAlignment="1">
      <alignment horizontal="center" vertical="center"/>
    </xf>
    <xf numFmtId="171" fontId="5" fillId="29" borderId="3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9" fillId="29" borderId="0" xfId="0" applyFont="1" applyFill="1" applyBorder="1" applyAlignment="1">
      <alignment vertical="center"/>
    </xf>
    <xf numFmtId="0" fontId="81" fillId="29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170" fontId="4" fillId="26" borderId="3" xfId="0" quotePrefix="1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3" xfId="0" quotePrefix="1" applyNumberFormat="1" applyFont="1" applyFill="1" applyBorder="1" applyAlignment="1">
      <alignment vertical="center" wrapText="1"/>
    </xf>
    <xf numFmtId="170" fontId="5" fillId="0" borderId="3" xfId="0" applyNumberFormat="1" applyFont="1" applyFill="1" applyBorder="1" applyAlignment="1">
      <alignment vertical="center" wrapText="1"/>
    </xf>
    <xf numFmtId="170" fontId="5" fillId="33" borderId="3" xfId="0" quotePrefix="1" applyNumberFormat="1" applyFont="1" applyFill="1" applyBorder="1" applyAlignment="1">
      <alignment vertical="center" wrapText="1"/>
    </xf>
    <xf numFmtId="170" fontId="5" fillId="33" borderId="3" xfId="0" applyNumberFormat="1" applyFont="1" applyFill="1" applyBorder="1" applyAlignment="1">
      <alignment vertical="center" wrapText="1"/>
    </xf>
    <xf numFmtId="170" fontId="5" fillId="29" borderId="3" xfId="0" quotePrefix="1" applyNumberFormat="1" applyFont="1" applyFill="1" applyBorder="1" applyAlignment="1">
      <alignment vertical="center" wrapText="1"/>
    </xf>
    <xf numFmtId="170" fontId="5" fillId="33" borderId="3" xfId="0" applyNumberFormat="1" applyFont="1" applyFill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0" fontId="84" fillId="0" borderId="0" xfId="0" applyFont="1" applyFill="1" applyBorder="1" applyAlignment="1">
      <alignment vertical="center"/>
    </xf>
    <xf numFmtId="179" fontId="9" fillId="34" borderId="3" xfId="0" applyNumberFormat="1" applyFont="1" applyFill="1" applyBorder="1" applyAlignment="1">
      <alignment horizontal="center" vertical="center"/>
    </xf>
    <xf numFmtId="0" fontId="9" fillId="34" borderId="3" xfId="0" applyFont="1" applyFill="1" applyBorder="1" applyAlignment="1">
      <alignment horizontal="center" vertical="center"/>
    </xf>
    <xf numFmtId="0" fontId="9" fillId="29" borderId="3" xfId="0" applyFont="1" applyFill="1" applyBorder="1" applyAlignment="1">
      <alignment horizontal="center" vertical="center"/>
    </xf>
    <xf numFmtId="0" fontId="85" fillId="34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/>
    </xf>
    <xf numFmtId="179" fontId="85" fillId="29" borderId="0" xfId="0" applyNumberFormat="1" applyFont="1" applyFill="1" applyBorder="1" applyAlignment="1">
      <alignment vertical="center"/>
    </xf>
    <xf numFmtId="179" fontId="9" fillId="29" borderId="3" xfId="0" applyNumberFormat="1" applyFont="1" applyFill="1" applyBorder="1" applyAlignment="1">
      <alignment horizontal="center" vertical="center"/>
    </xf>
    <xf numFmtId="0" fontId="84" fillId="29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9" fontId="85" fillId="29" borderId="13" xfId="0" applyNumberFormat="1" applyFont="1" applyFill="1" applyBorder="1" applyAlignment="1">
      <alignment horizontal="center" vertical="center"/>
    </xf>
    <xf numFmtId="179" fontId="85" fillId="29" borderId="15" xfId="0" applyNumberFormat="1" applyFont="1" applyFill="1" applyBorder="1" applyAlignment="1">
      <alignment horizontal="center" vertical="center"/>
    </xf>
    <xf numFmtId="0" fontId="84" fillId="33" borderId="17" xfId="0" applyFont="1" applyFill="1" applyBorder="1" applyAlignment="1">
      <alignment horizontal="center" vertical="center"/>
    </xf>
    <xf numFmtId="0" fontId="84" fillId="33" borderId="18" xfId="0" applyFont="1" applyFill="1" applyBorder="1" applyAlignment="1">
      <alignment horizontal="center" vertical="center"/>
    </xf>
    <xf numFmtId="0" fontId="84" fillId="33" borderId="14" xfId="0" applyFont="1" applyFill="1" applyBorder="1" applyAlignment="1">
      <alignment horizontal="center" vertical="center"/>
    </xf>
    <xf numFmtId="0" fontId="9" fillId="34" borderId="17" xfId="0" applyFont="1" applyFill="1" applyBorder="1" applyAlignment="1">
      <alignment horizontal="center" vertical="center"/>
    </xf>
    <xf numFmtId="0" fontId="9" fillId="34" borderId="18" xfId="0" applyFont="1" applyFill="1" applyBorder="1" applyAlignment="1">
      <alignment horizontal="center" vertical="center"/>
    </xf>
    <xf numFmtId="0" fontId="9" fillId="34" borderId="14" xfId="0" applyFont="1" applyFill="1" applyBorder="1" applyAlignment="1">
      <alignment horizontal="center" vertical="center"/>
    </xf>
    <xf numFmtId="0" fontId="9" fillId="34" borderId="17" xfId="0" applyFont="1" applyFill="1" applyBorder="1" applyAlignment="1">
      <alignment horizontal="left" vertical="center"/>
    </xf>
    <xf numFmtId="0" fontId="9" fillId="34" borderId="18" xfId="0" applyFont="1" applyFill="1" applyBorder="1" applyAlignment="1">
      <alignment horizontal="left" vertical="center"/>
    </xf>
    <xf numFmtId="0" fontId="9" fillId="34" borderId="14" xfId="0" applyFont="1" applyFill="1" applyBorder="1" applyAlignment="1">
      <alignment horizontal="left" vertical="center"/>
    </xf>
    <xf numFmtId="1" fontId="4" fillId="29" borderId="3" xfId="0" applyNumberFormat="1" applyFont="1" applyFill="1" applyBorder="1" applyAlignment="1">
      <alignment horizontal="right" vertical="center" wrapText="1"/>
    </xf>
    <xf numFmtId="170" fontId="5" fillId="0" borderId="0" xfId="0" applyNumberFormat="1" applyFont="1" applyFill="1" applyBorder="1" applyAlignment="1">
      <alignment horizontal="center" vertical="center"/>
    </xf>
    <xf numFmtId="170" fontId="9" fillId="29" borderId="3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vertical="center"/>
    </xf>
    <xf numFmtId="0" fontId="74" fillId="29" borderId="0" xfId="0" applyFont="1" applyFill="1" applyAlignment="1">
      <alignment vertical="center"/>
    </xf>
    <xf numFmtId="0" fontId="6" fillId="29" borderId="0" xfId="0" applyFont="1" applyFill="1" applyAlignment="1">
      <alignment vertical="center"/>
    </xf>
    <xf numFmtId="9" fontId="5" fillId="29" borderId="0" xfId="0" applyNumberFormat="1" applyFont="1" applyFill="1" applyAlignment="1">
      <alignment vertical="center"/>
    </xf>
    <xf numFmtId="170" fontId="5" fillId="29" borderId="0" xfId="0" applyNumberFormat="1" applyFont="1" applyFill="1" applyAlignment="1">
      <alignment vertical="center"/>
    </xf>
    <xf numFmtId="4" fontId="5" fillId="29" borderId="3" xfId="0" applyNumberFormat="1" applyFont="1" applyFill="1" applyBorder="1" applyAlignment="1">
      <alignment horizontal="center" vertical="center" wrapText="1"/>
    </xf>
    <xf numFmtId="171" fontId="77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29" borderId="3" xfId="0" applyFont="1" applyFill="1" applyBorder="1" applyAlignment="1">
      <alignment horizontal="left" vertical="center" wrapText="1"/>
    </xf>
    <xf numFmtId="0" fontId="5" fillId="29" borderId="3" xfId="0" quotePrefix="1" applyFont="1" applyFill="1" applyBorder="1" applyAlignment="1">
      <alignment horizontal="center" vertical="center"/>
    </xf>
    <xf numFmtId="0" fontId="4" fillId="29" borderId="3" xfId="248" applyFont="1" applyFill="1" applyBorder="1" applyAlignment="1">
      <alignment horizontal="left" vertical="center" wrapText="1"/>
    </xf>
    <xf numFmtId="4" fontId="5" fillId="29" borderId="3" xfId="211" applyNumberFormat="1" applyFont="1" applyFill="1" applyBorder="1" applyAlignment="1">
      <alignment horizontal="center" vertical="center" wrapText="1"/>
    </xf>
    <xf numFmtId="0" fontId="6" fillId="29" borderId="3" xfId="0" applyFont="1" applyFill="1" applyBorder="1" applyAlignment="1">
      <alignment horizontal="center" vertical="center" wrapText="1"/>
    </xf>
    <xf numFmtId="171" fontId="87" fillId="0" borderId="3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/>
    </xf>
    <xf numFmtId="3" fontId="84" fillId="0" borderId="3" xfId="0" applyNumberFormat="1" applyFont="1" applyFill="1" applyBorder="1" applyAlignment="1">
      <alignment horizontal="left" vertical="center" wrapText="1"/>
    </xf>
    <xf numFmtId="3" fontId="84" fillId="0" borderId="3" xfId="0" applyNumberFormat="1" applyFont="1" applyFill="1" applyBorder="1" applyAlignment="1">
      <alignment horizontal="center" vertical="center" wrapText="1"/>
    </xf>
    <xf numFmtId="171" fontId="84" fillId="0" borderId="3" xfId="0" applyNumberFormat="1" applyFont="1" applyFill="1" applyBorder="1" applyAlignment="1">
      <alignment horizontal="center" vertical="center" wrapText="1"/>
    </xf>
    <xf numFmtId="171" fontId="84" fillId="0" borderId="3" xfId="0" applyNumberFormat="1" applyFont="1" applyFill="1" applyBorder="1" applyAlignment="1">
      <alignment horizontal="center" vertical="center"/>
    </xf>
    <xf numFmtId="170" fontId="8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vertical="center" wrapText="1"/>
    </xf>
    <xf numFmtId="170" fontId="6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 wrapText="1"/>
    </xf>
    <xf numFmtId="170" fontId="5" fillId="32" borderId="3" xfId="0" applyNumberFormat="1" applyFont="1" applyFill="1" applyBorder="1" applyAlignment="1">
      <alignment vertical="center"/>
    </xf>
    <xf numFmtId="0" fontId="5" fillId="3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34" borderId="17" xfId="0" applyFont="1" applyFill="1" applyBorder="1" applyAlignment="1">
      <alignment horizontal="left" vertical="center"/>
    </xf>
    <xf numFmtId="0" fontId="9" fillId="34" borderId="18" xfId="0" applyFont="1" applyFill="1" applyBorder="1" applyAlignment="1">
      <alignment horizontal="left" vertical="center"/>
    </xf>
    <xf numFmtId="0" fontId="9" fillId="34" borderId="14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center" vertical="center" wrapText="1"/>
    </xf>
    <xf numFmtId="0" fontId="9" fillId="35" borderId="3" xfId="0" applyFont="1" applyFill="1" applyBorder="1" applyAlignment="1">
      <alignment horizontal="center" vertical="center"/>
    </xf>
    <xf numFmtId="179" fontId="9" fillId="35" borderId="3" xfId="0" applyNumberFormat="1" applyFont="1" applyFill="1" applyBorder="1" applyAlignment="1">
      <alignment vertical="center"/>
    </xf>
    <xf numFmtId="179" fontId="5" fillId="35" borderId="3" xfId="0" applyNumberFormat="1" applyFont="1" applyFill="1" applyBorder="1" applyAlignment="1">
      <alignment vertical="center"/>
    </xf>
    <xf numFmtId="170" fontId="9" fillId="35" borderId="3" xfId="0" applyNumberFormat="1" applyFont="1" applyFill="1" applyBorder="1" applyAlignment="1">
      <alignment horizontal="center" vertical="center"/>
    </xf>
    <xf numFmtId="49" fontId="5" fillId="29" borderId="3" xfId="0" applyNumberFormat="1" applyFont="1" applyFill="1" applyBorder="1" applyAlignment="1">
      <alignment horizontal="left" vertical="center" wrapText="1"/>
    </xf>
    <xf numFmtId="170" fontId="5" fillId="35" borderId="3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right" vertical="center" wrapText="1"/>
    </xf>
    <xf numFmtId="0" fontId="77" fillId="0" borderId="0" xfId="0" applyFont="1" applyFill="1" applyBorder="1" applyAlignment="1">
      <alignment horizontal="right" vertical="center"/>
    </xf>
    <xf numFmtId="0" fontId="82" fillId="29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vertical="center"/>
    </xf>
    <xf numFmtId="0" fontId="9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171" fontId="74" fillId="29" borderId="0" xfId="0" applyNumberFormat="1" applyFont="1" applyFill="1" applyAlignment="1">
      <alignment vertical="center"/>
    </xf>
    <xf numFmtId="9" fontId="74" fillId="29" borderId="0" xfId="0" applyNumberFormat="1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29" borderId="0" xfId="0" applyFont="1" applyFill="1" applyAlignment="1">
      <alignment vertical="center"/>
    </xf>
    <xf numFmtId="0" fontId="4" fillId="32" borderId="0" xfId="0" applyFont="1" applyFill="1" applyBorder="1" applyAlignment="1">
      <alignment vertical="center"/>
    </xf>
    <xf numFmtId="0" fontId="92" fillId="32" borderId="0" xfId="0" applyFont="1" applyFill="1" applyBorder="1" applyAlignment="1">
      <alignment vertical="center"/>
    </xf>
    <xf numFmtId="0" fontId="93" fillId="32" borderId="0" xfId="0" applyFont="1" applyFill="1" applyBorder="1" applyAlignment="1">
      <alignment vertical="center"/>
    </xf>
    <xf numFmtId="0" fontId="4" fillId="32" borderId="3" xfId="0" applyFont="1" applyFill="1" applyBorder="1" applyAlignment="1">
      <alignment vertical="center"/>
    </xf>
    <xf numFmtId="0" fontId="77" fillId="32" borderId="3" xfId="0" applyFont="1" applyFill="1" applyBorder="1" applyAlignment="1">
      <alignment vertical="center"/>
    </xf>
    <xf numFmtId="170" fontId="68" fillId="32" borderId="3" xfId="0" applyNumberFormat="1" applyFont="1" applyFill="1" applyBorder="1" applyAlignment="1">
      <alignment vertical="center"/>
    </xf>
    <xf numFmtId="170" fontId="6" fillId="32" borderId="3" xfId="0" applyNumberFormat="1" applyFont="1" applyFill="1" applyBorder="1" applyAlignment="1">
      <alignment horizontal="center" vertical="center" wrapText="1"/>
    </xf>
    <xf numFmtId="0" fontId="68" fillId="32" borderId="3" xfId="0" applyFont="1" applyFill="1" applyBorder="1" applyAlignment="1">
      <alignment vertical="center"/>
    </xf>
    <xf numFmtId="0" fontId="82" fillId="32" borderId="3" xfId="0" applyFont="1" applyFill="1" applyBorder="1" applyAlignment="1">
      <alignment vertical="center"/>
    </xf>
    <xf numFmtId="0" fontId="68" fillId="32" borderId="0" xfId="0" applyFont="1" applyFill="1" applyBorder="1" applyAlignment="1">
      <alignment vertical="center"/>
    </xf>
    <xf numFmtId="0" fontId="5" fillId="32" borderId="0" xfId="0" applyFont="1" applyFill="1" applyAlignment="1">
      <alignment vertical="center"/>
    </xf>
    <xf numFmtId="0" fontId="6" fillId="32" borderId="0" xfId="0" applyFont="1" applyFill="1" applyAlignment="1">
      <alignment vertical="center"/>
    </xf>
    <xf numFmtId="0" fontId="74" fillId="32" borderId="3" xfId="0" applyFont="1" applyFill="1" applyBorder="1" applyAlignment="1">
      <alignment vertical="center"/>
    </xf>
    <xf numFmtId="3" fontId="5" fillId="32" borderId="3" xfId="0" applyNumberFormat="1" applyFont="1" applyFill="1" applyBorder="1" applyAlignment="1">
      <alignment vertical="center"/>
    </xf>
    <xf numFmtId="0" fontId="6" fillId="32" borderId="3" xfId="0" applyFont="1" applyFill="1" applyBorder="1" applyAlignment="1">
      <alignment vertical="center"/>
    </xf>
    <xf numFmtId="171" fontId="5" fillId="32" borderId="3" xfId="0" applyNumberFormat="1" applyFont="1" applyFill="1" applyBorder="1" applyAlignment="1">
      <alignment vertical="center"/>
    </xf>
    <xf numFmtId="10" fontId="5" fillId="32" borderId="3" xfId="0" applyNumberFormat="1" applyFont="1" applyFill="1" applyBorder="1" applyAlignment="1">
      <alignment vertical="center"/>
    </xf>
    <xf numFmtId="9" fontId="5" fillId="32" borderId="3" xfId="0" applyNumberFormat="1" applyFont="1" applyFill="1" applyBorder="1" applyAlignment="1">
      <alignment vertical="center"/>
    </xf>
    <xf numFmtId="0" fontId="92" fillId="32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170" fontId="4" fillId="0" borderId="3" xfId="0" applyNumberFormat="1" applyFont="1" applyFill="1" applyBorder="1" applyAlignment="1">
      <alignment horizontal="left" vertical="center" wrapText="1"/>
    </xf>
    <xf numFmtId="170" fontId="4" fillId="37" borderId="3" xfId="0" applyNumberFormat="1" applyFont="1" applyFill="1" applyBorder="1" applyAlignment="1">
      <alignment horizontal="center" vertical="center" wrapText="1"/>
    </xf>
    <xf numFmtId="170" fontId="94" fillId="29" borderId="3" xfId="0" applyNumberFormat="1" applyFont="1" applyFill="1" applyBorder="1" applyAlignment="1">
      <alignment horizontal="center" vertical="center" wrapText="1"/>
    </xf>
    <xf numFmtId="170" fontId="84" fillId="0" borderId="3" xfId="0" applyNumberFormat="1" applyFont="1" applyFill="1" applyBorder="1" applyAlignment="1">
      <alignment horizontal="center" vertical="center" wrapText="1"/>
    </xf>
    <xf numFmtId="170" fontId="96" fillId="0" borderId="3" xfId="0" applyNumberFormat="1" applyFont="1" applyFill="1" applyBorder="1" applyAlignment="1">
      <alignment horizontal="center" vertical="center" wrapText="1"/>
    </xf>
    <xf numFmtId="170" fontId="84" fillId="29" borderId="3" xfId="0" applyNumberFormat="1" applyFont="1" applyFill="1" applyBorder="1" applyAlignment="1">
      <alignment horizontal="center" vertical="center" wrapText="1"/>
    </xf>
    <xf numFmtId="170" fontId="4" fillId="38" borderId="3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4" fillId="37" borderId="3" xfId="0" quotePrefix="1" applyFont="1" applyFill="1" applyBorder="1" applyAlignment="1">
      <alignment horizontal="center" vertical="center" wrapText="1"/>
    </xf>
    <xf numFmtId="0" fontId="5" fillId="29" borderId="3" xfId="0" quotePrefix="1" applyFont="1" applyFill="1" applyBorder="1" applyAlignment="1">
      <alignment horizontal="center" vertical="center" wrapText="1"/>
    </xf>
    <xf numFmtId="0" fontId="5" fillId="0" borderId="19" xfId="0" quotePrefix="1" applyFont="1" applyFill="1" applyBorder="1" applyAlignment="1">
      <alignment horizontal="center" vertical="center" wrapText="1"/>
    </xf>
    <xf numFmtId="0" fontId="4" fillId="38" borderId="3" xfId="0" quotePrefix="1" applyFont="1" applyFill="1" applyBorder="1" applyAlignment="1">
      <alignment horizontal="center" vertical="center" wrapText="1"/>
    </xf>
    <xf numFmtId="170" fontId="96" fillId="29" borderId="3" xfId="0" applyNumberFormat="1" applyFont="1" applyFill="1" applyBorder="1" applyAlignment="1">
      <alignment horizontal="center" vertical="center" wrapText="1"/>
    </xf>
    <xf numFmtId="0" fontId="4" fillId="38" borderId="3" xfId="0" applyFont="1" applyFill="1" applyBorder="1" applyAlignment="1">
      <alignment horizontal="center" vertical="center" wrapText="1"/>
    </xf>
    <xf numFmtId="170" fontId="4" fillId="37" borderId="0" xfId="0" applyNumberFormat="1" applyFont="1" applyFill="1" applyBorder="1" applyAlignment="1">
      <alignment horizontal="center" vertical="center" wrapText="1"/>
    </xf>
    <xf numFmtId="170" fontId="9" fillId="0" borderId="0" xfId="0" applyNumberFormat="1" applyFont="1" applyFill="1" applyBorder="1" applyAlignment="1">
      <alignment horizontal="center" vertical="center" wrapText="1"/>
    </xf>
    <xf numFmtId="170" fontId="9" fillId="29" borderId="0" xfId="0" applyNumberFormat="1" applyFont="1" applyFill="1" applyBorder="1" applyAlignment="1">
      <alignment horizontal="center" vertical="center" wrapText="1"/>
    </xf>
    <xf numFmtId="170" fontId="94" fillId="29" borderId="0" xfId="0" applyNumberFormat="1" applyFont="1" applyFill="1" applyBorder="1" applyAlignment="1">
      <alignment horizontal="center" vertical="center" wrapText="1"/>
    </xf>
    <xf numFmtId="170" fontId="84" fillId="0" borderId="0" xfId="0" applyNumberFormat="1" applyFont="1" applyFill="1" applyBorder="1" applyAlignment="1">
      <alignment horizontal="center" vertical="center" wrapText="1"/>
    </xf>
    <xf numFmtId="170" fontId="5" fillId="29" borderId="0" xfId="0" quotePrefix="1" applyNumberFormat="1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horizontal="center" vertical="center" wrapText="1"/>
    </xf>
    <xf numFmtId="170" fontId="69" fillId="29" borderId="0" xfId="0" applyNumberFormat="1" applyFont="1" applyFill="1" applyBorder="1" applyAlignment="1">
      <alignment horizontal="center" vertical="center" wrapText="1"/>
    </xf>
    <xf numFmtId="170" fontId="84" fillId="29" borderId="0" xfId="0" applyNumberFormat="1" applyFont="1" applyFill="1" applyBorder="1" applyAlignment="1">
      <alignment horizontal="center" vertical="center" wrapText="1"/>
    </xf>
    <xf numFmtId="170" fontId="4" fillId="38" borderId="0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83" fillId="0" borderId="0" xfId="0" applyNumberFormat="1" applyFont="1" applyFill="1" applyBorder="1" applyAlignment="1">
      <alignment vertical="center"/>
    </xf>
    <xf numFmtId="170" fontId="9" fillId="0" borderId="0" xfId="0" applyNumberFormat="1" applyFont="1" applyFill="1" applyBorder="1" applyAlignment="1">
      <alignment vertical="center"/>
    </xf>
    <xf numFmtId="170" fontId="4" fillId="32" borderId="3" xfId="0" applyNumberFormat="1" applyFont="1" applyFill="1" applyBorder="1" applyAlignment="1">
      <alignment vertical="center"/>
    </xf>
    <xf numFmtId="170" fontId="5" fillId="32" borderId="3" xfId="0" applyNumberFormat="1" applyFont="1" applyFill="1" applyBorder="1" applyAlignment="1">
      <alignment horizontal="center" vertical="center" wrapText="1"/>
    </xf>
    <xf numFmtId="170" fontId="5" fillId="32" borderId="3" xfId="0" quotePrefix="1" applyNumberFormat="1" applyFont="1" applyFill="1" applyBorder="1" applyAlignment="1">
      <alignment horizontal="center" vertical="center" wrapText="1"/>
    </xf>
    <xf numFmtId="0" fontId="4" fillId="32" borderId="0" xfId="0" applyFont="1" applyFill="1" applyBorder="1" applyAlignment="1">
      <alignment horizontal="left" vertical="center"/>
    </xf>
    <xf numFmtId="0" fontId="76" fillId="32" borderId="3" xfId="0" applyFont="1" applyFill="1" applyBorder="1" applyAlignment="1">
      <alignment vertical="center"/>
    </xf>
    <xf numFmtId="170" fontId="68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Alignment="1">
      <alignment vertical="center"/>
    </xf>
    <xf numFmtId="170" fontId="6" fillId="0" borderId="0" xfId="0" applyNumberFormat="1" applyFont="1" applyFill="1" applyBorder="1" applyAlignment="1">
      <alignment vertical="center"/>
    </xf>
    <xf numFmtId="170" fontId="95" fillId="29" borderId="0" xfId="0" applyNumberFormat="1" applyFont="1" applyFill="1" applyBorder="1" applyAlignment="1">
      <alignment horizontal="center" vertical="center" wrapText="1"/>
    </xf>
    <xf numFmtId="170" fontId="9" fillId="32" borderId="3" xfId="0" applyNumberFormat="1" applyFont="1" applyFill="1" applyBorder="1" applyAlignment="1">
      <alignment horizontal="center" vertical="center" wrapText="1"/>
    </xf>
    <xf numFmtId="170" fontId="94" fillId="32" borderId="3" xfId="0" applyNumberFormat="1" applyFont="1" applyFill="1" applyBorder="1" applyAlignment="1">
      <alignment horizontal="center" vertical="center" wrapText="1"/>
    </xf>
    <xf numFmtId="170" fontId="84" fillId="32" borderId="3" xfId="0" applyNumberFormat="1" applyFont="1" applyFill="1" applyBorder="1" applyAlignment="1">
      <alignment horizontal="center" vertical="center" wrapText="1"/>
    </xf>
    <xf numFmtId="170" fontId="69" fillId="32" borderId="3" xfId="0" applyNumberFormat="1" applyFont="1" applyFill="1" applyBorder="1" applyAlignment="1">
      <alignment horizontal="center" vertical="center" wrapText="1"/>
    </xf>
    <xf numFmtId="170" fontId="95" fillId="32" borderId="3" xfId="0" applyNumberFormat="1" applyFont="1" applyFill="1" applyBorder="1" applyAlignment="1">
      <alignment horizontal="center" vertical="center" wrapText="1"/>
    </xf>
    <xf numFmtId="0" fontId="4" fillId="32" borderId="18" xfId="0" applyFont="1" applyFill="1" applyBorder="1" applyAlignment="1">
      <alignment vertical="center" wrapText="1"/>
    </xf>
    <xf numFmtId="170" fontId="4" fillId="0" borderId="17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left" vertical="center"/>
    </xf>
    <xf numFmtId="170" fontId="6" fillId="29" borderId="3" xfId="0" quotePrefix="1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 wrapText="1"/>
    </xf>
    <xf numFmtId="0" fontId="5" fillId="29" borderId="3" xfId="0" applyFont="1" applyFill="1" applyBorder="1" applyAlignment="1">
      <alignment horizontal="right" vertical="center" wrapText="1"/>
    </xf>
    <xf numFmtId="0" fontId="4" fillId="29" borderId="3" xfId="0" applyFont="1" applyFill="1" applyBorder="1" applyAlignment="1">
      <alignment horizontal="right" vertical="center" wrapText="1"/>
    </xf>
    <xf numFmtId="0" fontId="97" fillId="29" borderId="0" xfId="0" applyFont="1" applyFill="1" applyBorder="1" applyAlignment="1">
      <alignment vertical="center"/>
    </xf>
    <xf numFmtId="0" fontId="5" fillId="29" borderId="3" xfId="0" applyFont="1" applyFill="1" applyBorder="1" applyAlignment="1">
      <alignment vertical="center"/>
    </xf>
    <xf numFmtId="171" fontId="9" fillId="29" borderId="3" xfId="0" applyNumberFormat="1" applyFont="1" applyFill="1" applyBorder="1" applyAlignment="1">
      <alignment horizontal="center" vertical="center" wrapText="1"/>
    </xf>
    <xf numFmtId="4" fontId="9" fillId="29" borderId="3" xfId="0" applyNumberFormat="1" applyFont="1" applyFill="1" applyBorder="1" applyAlignment="1">
      <alignment horizontal="center" vertical="center" wrapText="1"/>
    </xf>
    <xf numFmtId="170" fontId="5" fillId="33" borderId="3" xfId="0" applyNumberFormat="1" applyFont="1" applyFill="1" applyBorder="1" applyAlignment="1">
      <alignment horizontal="center" vertical="center"/>
    </xf>
    <xf numFmtId="3" fontId="5" fillId="33" borderId="3" xfId="0" applyNumberFormat="1" applyFont="1" applyFill="1" applyBorder="1" applyAlignment="1">
      <alignment horizontal="center" vertical="center"/>
    </xf>
    <xf numFmtId="0" fontId="92" fillId="29" borderId="0" xfId="0" applyFont="1" applyFill="1" applyBorder="1" applyAlignment="1">
      <alignment vertical="center"/>
    </xf>
    <xf numFmtId="0" fontId="93" fillId="29" borderId="0" xfId="0" applyFont="1" applyFill="1" applyBorder="1" applyAlignment="1">
      <alignment vertical="center"/>
    </xf>
    <xf numFmtId="0" fontId="4" fillId="29" borderId="3" xfId="0" applyFont="1" applyFill="1" applyBorder="1" applyAlignment="1">
      <alignment vertical="center"/>
    </xf>
    <xf numFmtId="0" fontId="68" fillId="29" borderId="3" xfId="0" applyFont="1" applyFill="1" applyBorder="1" applyAlignment="1">
      <alignment vertical="center"/>
    </xf>
    <xf numFmtId="0" fontId="77" fillId="29" borderId="0" xfId="0" applyFont="1" applyFill="1" applyBorder="1" applyAlignment="1">
      <alignment vertical="center"/>
    </xf>
    <xf numFmtId="170" fontId="68" fillId="29" borderId="0" xfId="0" applyNumberFormat="1" applyFont="1" applyFill="1" applyBorder="1" applyAlignment="1">
      <alignment vertical="center"/>
    </xf>
    <xf numFmtId="0" fontId="5" fillId="39" borderId="0" xfId="0" applyFont="1" applyFill="1" applyBorder="1" applyAlignment="1">
      <alignment vertical="center"/>
    </xf>
    <xf numFmtId="0" fontId="4" fillId="39" borderId="0" xfId="0" applyFont="1" applyFill="1" applyBorder="1" applyAlignment="1">
      <alignment vertical="center"/>
    </xf>
    <xf numFmtId="170" fontId="4" fillId="39" borderId="3" xfId="0" applyNumberFormat="1" applyFont="1" applyFill="1" applyBorder="1" applyAlignment="1">
      <alignment horizontal="center" vertical="center" wrapText="1"/>
    </xf>
    <xf numFmtId="170" fontId="5" fillId="39" borderId="3" xfId="0" applyNumberFormat="1" applyFont="1" applyFill="1" applyBorder="1" applyAlignment="1">
      <alignment horizontal="center" vertical="center" wrapText="1"/>
    </xf>
    <xf numFmtId="170" fontId="5" fillId="39" borderId="3" xfId="0" quotePrefix="1" applyNumberFormat="1" applyFont="1" applyFill="1" applyBorder="1" applyAlignment="1">
      <alignment horizontal="center" vertical="center" wrapText="1"/>
    </xf>
    <xf numFmtId="0" fontId="6" fillId="39" borderId="0" xfId="0" applyFont="1" applyFill="1" applyAlignment="1">
      <alignment vertical="center"/>
    </xf>
    <xf numFmtId="0" fontId="5" fillId="39" borderId="0" xfId="0" applyFont="1" applyFill="1" applyAlignment="1">
      <alignment vertical="center"/>
    </xf>
    <xf numFmtId="0" fontId="4" fillId="39" borderId="18" xfId="0" applyFont="1" applyFill="1" applyBorder="1" applyAlignment="1">
      <alignment vertical="center" wrapText="1"/>
    </xf>
    <xf numFmtId="170" fontId="4" fillId="39" borderId="17" xfId="0" applyNumberFormat="1" applyFont="1" applyFill="1" applyBorder="1" applyAlignment="1">
      <alignment horizontal="center" vertical="center" wrapText="1"/>
    </xf>
    <xf numFmtId="170" fontId="5" fillId="39" borderId="17" xfId="0" applyNumberFormat="1" applyFont="1" applyFill="1" applyBorder="1" applyAlignment="1">
      <alignment horizontal="center" vertical="center" wrapText="1"/>
    </xf>
    <xf numFmtId="170" fontId="9" fillId="39" borderId="17" xfId="0" applyNumberFormat="1" applyFont="1" applyFill="1" applyBorder="1" applyAlignment="1">
      <alignment horizontal="center" vertical="center" wrapText="1"/>
    </xf>
    <xf numFmtId="170" fontId="94" fillId="39" borderId="17" xfId="0" applyNumberFormat="1" applyFont="1" applyFill="1" applyBorder="1" applyAlignment="1">
      <alignment horizontal="center" vertical="center" wrapText="1"/>
    </xf>
    <xf numFmtId="170" fontId="84" fillId="39" borderId="17" xfId="0" applyNumberFormat="1" applyFont="1" applyFill="1" applyBorder="1" applyAlignment="1">
      <alignment horizontal="center" vertical="center" wrapText="1"/>
    </xf>
    <xf numFmtId="170" fontId="5" fillId="39" borderId="17" xfId="0" quotePrefix="1" applyNumberFormat="1" applyFont="1" applyFill="1" applyBorder="1" applyAlignment="1">
      <alignment horizontal="center" vertical="center" wrapText="1"/>
    </xf>
    <xf numFmtId="170" fontId="4" fillId="39" borderId="17" xfId="0" quotePrefix="1" applyNumberFormat="1" applyFont="1" applyFill="1" applyBorder="1" applyAlignment="1">
      <alignment horizontal="center" vertical="center" wrapText="1"/>
    </xf>
    <xf numFmtId="170" fontId="6" fillId="39" borderId="17" xfId="0" applyNumberFormat="1" applyFont="1" applyFill="1" applyBorder="1" applyAlignment="1">
      <alignment horizontal="center" vertical="center" wrapText="1"/>
    </xf>
    <xf numFmtId="170" fontId="69" fillId="39" borderId="1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68" fillId="0" borderId="3" xfId="0" applyFont="1" applyFill="1" applyBorder="1" applyAlignment="1">
      <alignment vertical="center"/>
    </xf>
    <xf numFmtId="0" fontId="6" fillId="29" borderId="3" xfId="0" applyFont="1" applyFill="1" applyBorder="1" applyAlignment="1">
      <alignment vertical="center"/>
    </xf>
    <xf numFmtId="171" fontId="5" fillId="29" borderId="3" xfId="0" applyNumberFormat="1" applyFont="1" applyFill="1" applyBorder="1" applyAlignment="1">
      <alignment vertical="center"/>
    </xf>
    <xf numFmtId="0" fontId="74" fillId="29" borderId="3" xfId="0" applyFont="1" applyFill="1" applyBorder="1" applyAlignment="1">
      <alignment vertical="center"/>
    </xf>
    <xf numFmtId="9" fontId="74" fillId="29" borderId="3" xfId="0" applyNumberFormat="1" applyFont="1" applyFill="1" applyBorder="1" applyAlignment="1">
      <alignment vertical="center"/>
    </xf>
    <xf numFmtId="170" fontId="5" fillId="29" borderId="3" xfId="0" applyNumberFormat="1" applyFont="1" applyFill="1" applyBorder="1" applyAlignment="1">
      <alignment vertical="center"/>
    </xf>
    <xf numFmtId="9" fontId="5" fillId="29" borderId="3" xfId="0" applyNumberFormat="1" applyFont="1" applyFill="1" applyBorder="1" applyAlignment="1">
      <alignment vertical="center"/>
    </xf>
    <xf numFmtId="0" fontId="5" fillId="39" borderId="3" xfId="0" applyFont="1" applyFill="1" applyBorder="1" applyAlignment="1">
      <alignment vertical="center"/>
    </xf>
    <xf numFmtId="0" fontId="4" fillId="39" borderId="3" xfId="0" applyFont="1" applyFill="1" applyBorder="1" applyAlignment="1">
      <alignment vertical="center"/>
    </xf>
    <xf numFmtId="0" fontId="4" fillId="39" borderId="3" xfId="0" applyFont="1" applyFill="1" applyBorder="1" applyAlignment="1">
      <alignment vertical="center" wrapText="1"/>
    </xf>
    <xf numFmtId="0" fontId="4" fillId="29" borderId="19" xfId="0" applyFont="1" applyFill="1" applyBorder="1" applyAlignment="1">
      <alignment vertical="center"/>
    </xf>
    <xf numFmtId="0" fontId="101" fillId="39" borderId="19" xfId="0" applyFont="1" applyFill="1" applyBorder="1" applyAlignment="1">
      <alignment vertical="center"/>
    </xf>
    <xf numFmtId="0" fontId="101" fillId="32" borderId="0" xfId="0" applyFont="1" applyFill="1" applyBorder="1" applyAlignment="1">
      <alignment horizontal="left" vertical="center"/>
    </xf>
    <xf numFmtId="0" fontId="101" fillId="39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39" borderId="16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39" borderId="19" xfId="0" applyFont="1" applyFill="1" applyBorder="1" applyAlignment="1">
      <alignment vertical="center"/>
    </xf>
    <xf numFmtId="0" fontId="4" fillId="29" borderId="0" xfId="0" applyFont="1" applyFill="1" applyBorder="1" applyAlignment="1">
      <alignment vertical="center" wrapText="1"/>
    </xf>
    <xf numFmtId="170" fontId="5" fillId="35" borderId="3" xfId="0" quotePrefix="1" applyNumberFormat="1" applyFont="1" applyFill="1" applyBorder="1" applyAlignment="1">
      <alignment horizontal="center" vertical="center" wrapText="1"/>
    </xf>
    <xf numFmtId="170" fontId="5" fillId="29" borderId="17" xfId="0" applyNumberFormat="1" applyFont="1" applyFill="1" applyBorder="1" applyAlignment="1">
      <alignment horizontal="center" vertical="center" wrapText="1"/>
    </xf>
    <xf numFmtId="170" fontId="5" fillId="0" borderId="17" xfId="0" applyNumberFormat="1" applyFont="1" applyFill="1" applyBorder="1" applyAlignment="1">
      <alignment horizontal="center" vertical="center" wrapText="1"/>
    </xf>
    <xf numFmtId="170" fontId="5" fillId="29" borderId="17" xfId="0" quotePrefix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71" fontId="4" fillId="29" borderId="3" xfId="248" applyNumberFormat="1" applyFont="1" applyFill="1" applyBorder="1" applyAlignment="1">
      <alignment horizontal="center" vertical="center" wrapText="1"/>
    </xf>
    <xf numFmtId="171" fontId="4" fillId="29" borderId="3" xfId="0" applyNumberFormat="1" applyFont="1" applyFill="1" applyBorder="1" applyAlignment="1">
      <alignment horizontal="center" vertical="center" wrapText="1"/>
    </xf>
    <xf numFmtId="3" fontId="4" fillId="29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4" fillId="0" borderId="3" xfId="248" applyFont="1" applyFill="1" applyBorder="1" applyAlignment="1">
      <alignment vertical="center"/>
    </xf>
    <xf numFmtId="0" fontId="5" fillId="0" borderId="3" xfId="248" applyFont="1" applyFill="1" applyBorder="1" applyAlignment="1">
      <alignment vertical="center"/>
    </xf>
    <xf numFmtId="170" fontId="74" fillId="0" borderId="3" xfId="248" applyNumberFormat="1" applyFont="1" applyFill="1" applyBorder="1" applyAlignment="1">
      <alignment vertical="center"/>
    </xf>
    <xf numFmtId="170" fontId="5" fillId="0" borderId="3" xfId="248" applyNumberFormat="1" applyFont="1" applyFill="1" applyBorder="1" applyAlignment="1">
      <alignment vertical="center"/>
    </xf>
    <xf numFmtId="0" fontId="77" fillId="0" borderId="0" xfId="0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/>
    </xf>
    <xf numFmtId="171" fontId="69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170" fontId="74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171" fontId="4" fillId="40" borderId="3" xfId="0" applyNumberFormat="1" applyFont="1" applyFill="1" applyBorder="1" applyAlignment="1">
      <alignment horizontal="center" vertical="center" wrapText="1"/>
    </xf>
    <xf numFmtId="0" fontId="4" fillId="40" borderId="3" xfId="0" applyFont="1" applyFill="1" applyBorder="1" applyAlignment="1">
      <alignment horizontal="center" vertical="center"/>
    </xf>
    <xf numFmtId="171" fontId="9" fillId="29" borderId="3" xfId="0" applyNumberFormat="1" applyFont="1" applyFill="1" applyBorder="1" applyAlignment="1">
      <alignment horizontal="center" vertical="center"/>
    </xf>
    <xf numFmtId="170" fontId="68" fillId="29" borderId="0" xfId="0" applyNumberFormat="1" applyFont="1" applyFill="1" applyBorder="1" applyAlignment="1">
      <alignment horizontal="center" vertical="center" wrapText="1"/>
    </xf>
    <xf numFmtId="0" fontId="101" fillId="29" borderId="0" xfId="0" applyFont="1" applyFill="1" applyBorder="1" applyAlignment="1">
      <alignment vertical="center"/>
    </xf>
    <xf numFmtId="170" fontId="6" fillId="29" borderId="0" xfId="0" quotePrefix="1" applyNumberFormat="1" applyFont="1" applyFill="1" applyBorder="1" applyAlignment="1">
      <alignment horizontal="center" vertical="center" wrapText="1"/>
    </xf>
    <xf numFmtId="170" fontId="5" fillId="29" borderId="0" xfId="0" applyNumberFormat="1" applyFont="1" applyFill="1" applyBorder="1" applyAlignment="1">
      <alignment vertical="center"/>
    </xf>
    <xf numFmtId="170" fontId="5" fillId="29" borderId="0" xfId="0" quotePrefix="1" applyNumberFormat="1" applyFont="1" applyFill="1" applyBorder="1" applyAlignment="1">
      <alignment horizontal="right" vertical="center" wrapText="1"/>
    </xf>
    <xf numFmtId="0" fontId="4" fillId="29" borderId="0" xfId="0" quotePrefix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center" vertical="center" wrapText="1"/>
    </xf>
    <xf numFmtId="171" fontId="5" fillId="29" borderId="0" xfId="0" applyNumberFormat="1" applyFont="1" applyFill="1" applyBorder="1" applyAlignment="1">
      <alignment horizontal="center" vertical="center" wrapText="1"/>
    </xf>
    <xf numFmtId="171" fontId="9" fillId="29" borderId="0" xfId="0" applyNumberFormat="1" applyFont="1" applyFill="1" applyBorder="1" applyAlignment="1">
      <alignment vertical="center"/>
    </xf>
    <xf numFmtId="170" fontId="9" fillId="29" borderId="0" xfId="0" applyNumberFormat="1" applyFont="1" applyFill="1" applyBorder="1" applyAlignment="1">
      <alignment vertical="center"/>
    </xf>
    <xf numFmtId="170" fontId="83" fillId="29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170" fontId="5" fillId="32" borderId="0" xfId="0" applyNumberFormat="1" applyFont="1" applyFill="1" applyAlignment="1">
      <alignment vertical="center"/>
    </xf>
    <xf numFmtId="2" fontId="5" fillId="32" borderId="0" xfId="0" applyNumberFormat="1" applyFont="1" applyFill="1" applyAlignment="1">
      <alignment vertical="center"/>
    </xf>
    <xf numFmtId="0" fontId="6" fillId="0" borderId="3" xfId="0" applyFont="1" applyBorder="1" applyAlignment="1">
      <alignment horizontal="center"/>
    </xf>
    <xf numFmtId="0" fontId="5" fillId="29" borderId="0" xfId="0" applyFont="1" applyFill="1" applyBorder="1" applyAlignment="1">
      <alignment horizontal="center" vertical="center"/>
    </xf>
    <xf numFmtId="0" fontId="74" fillId="29" borderId="0" xfId="0" applyFont="1" applyFill="1" applyBorder="1" applyAlignment="1">
      <alignment horizontal="center" vertical="center"/>
    </xf>
    <xf numFmtId="0" fontId="80" fillId="29" borderId="0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 wrapText="1" shrinkToFit="1"/>
    </xf>
    <xf numFmtId="0" fontId="4" fillId="29" borderId="0" xfId="0" applyFont="1" applyFill="1" applyBorder="1" applyAlignment="1">
      <alignment horizontal="left" vertical="center" wrapText="1"/>
    </xf>
    <xf numFmtId="171" fontId="4" fillId="29" borderId="0" xfId="0" applyNumberFormat="1" applyFont="1" applyFill="1" applyBorder="1" applyAlignment="1">
      <alignment horizontal="center"/>
    </xf>
    <xf numFmtId="171" fontId="4" fillId="29" borderId="0" xfId="0" quotePrefix="1" applyNumberFormat="1" applyFont="1" applyFill="1" applyBorder="1" applyAlignment="1">
      <alignment horizontal="center"/>
    </xf>
    <xf numFmtId="171" fontId="83" fillId="29" borderId="0" xfId="0" quotePrefix="1" applyNumberFormat="1" applyFont="1" applyFill="1" applyBorder="1" applyAlignment="1">
      <alignment horizontal="center"/>
    </xf>
    <xf numFmtId="3" fontId="5" fillId="29" borderId="0" xfId="0" applyNumberFormat="1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37" borderId="14" xfId="0" quotePrefix="1" applyFont="1" applyFill="1" applyBorder="1" applyAlignment="1">
      <alignment horizontal="center" vertical="center"/>
    </xf>
    <xf numFmtId="0" fontId="5" fillId="0" borderId="14" xfId="0" quotePrefix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9" borderId="14" xfId="0" quotePrefix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4" fillId="38" borderId="14" xfId="0" applyFont="1" applyFill="1" applyBorder="1" applyAlignment="1">
      <alignment horizontal="center" vertical="center"/>
    </xf>
    <xf numFmtId="0" fontId="4" fillId="38" borderId="14" xfId="0" quotePrefix="1" applyFont="1" applyFill="1" applyBorder="1" applyAlignment="1">
      <alignment horizontal="center" vertical="center"/>
    </xf>
    <xf numFmtId="0" fontId="5" fillId="0" borderId="14" xfId="0" quotePrefix="1" applyFont="1" applyFill="1" applyBorder="1" applyAlignment="1">
      <alignment horizontal="center" vertical="center" wrapText="1"/>
    </xf>
    <xf numFmtId="0" fontId="4" fillId="0" borderId="14" xfId="0" quotePrefix="1" applyFont="1" applyFill="1" applyBorder="1" applyAlignment="1">
      <alignment horizontal="center" vertical="center" wrapText="1"/>
    </xf>
    <xf numFmtId="0" fontId="6" fillId="29" borderId="0" xfId="0" applyFont="1" applyFill="1" applyBorder="1" applyAlignment="1">
      <alignment horizontal="center"/>
    </xf>
    <xf numFmtId="171" fontId="5" fillId="29" borderId="0" xfId="0" quotePrefix="1" applyNumberFormat="1" applyFont="1" applyFill="1" applyBorder="1" applyAlignment="1">
      <alignment horizontal="center" vertical="center" wrapText="1"/>
    </xf>
    <xf numFmtId="171" fontId="5" fillId="41" borderId="0" xfId="0" applyNumberFormat="1" applyFont="1" applyFill="1" applyBorder="1" applyAlignment="1">
      <alignment horizontal="center" vertical="center" wrapText="1"/>
    </xf>
    <xf numFmtId="171" fontId="5" fillId="41" borderId="0" xfId="0" quotePrefix="1" applyNumberFormat="1" applyFont="1" applyFill="1" applyBorder="1" applyAlignment="1">
      <alignment horizontal="center" vertical="center" wrapText="1"/>
    </xf>
    <xf numFmtId="171" fontId="4" fillId="29" borderId="0" xfId="0" quotePrefix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7" fillId="0" borderId="0" xfId="0" quotePrefix="1" applyFont="1" applyFill="1" applyBorder="1" applyAlignment="1">
      <alignment horizontal="center"/>
    </xf>
    <xf numFmtId="0" fontId="77" fillId="0" borderId="0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71" fontId="4" fillId="0" borderId="0" xfId="0" quotePrefix="1" applyNumberFormat="1" applyFont="1" applyFill="1" applyBorder="1" applyAlignment="1">
      <alignment horizontal="center" vertical="center" wrapText="1"/>
    </xf>
    <xf numFmtId="170" fontId="5" fillId="32" borderId="0" xfId="0" applyNumberFormat="1" applyFont="1" applyFill="1" applyBorder="1" applyAlignment="1">
      <alignment horizontal="center" vertical="center" wrapText="1"/>
    </xf>
    <xf numFmtId="170" fontId="4" fillId="32" borderId="0" xfId="0" applyNumberFormat="1" applyFont="1" applyFill="1" applyBorder="1" applyAlignment="1">
      <alignment vertical="center"/>
    </xf>
    <xf numFmtId="170" fontId="4" fillId="32" borderId="0" xfId="0" applyNumberFormat="1" applyFont="1" applyFill="1" applyBorder="1" applyAlignment="1">
      <alignment horizontal="center" vertical="center" wrapText="1"/>
    </xf>
    <xf numFmtId="170" fontId="5" fillId="39" borderId="0" xfId="0" applyNumberFormat="1" applyFont="1" applyFill="1" applyBorder="1" applyAlignment="1">
      <alignment horizontal="center" vertical="center" wrapText="1"/>
    </xf>
    <xf numFmtId="170" fontId="5" fillId="39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74" fillId="29" borderId="0" xfId="0" applyNumberFormat="1" applyFont="1" applyFill="1" applyBorder="1" applyAlignment="1">
      <alignment vertical="center"/>
    </xf>
    <xf numFmtId="171" fontId="74" fillId="29" borderId="0" xfId="0" applyNumberFormat="1" applyFont="1" applyFill="1" applyBorder="1" applyAlignment="1">
      <alignment horizontal="center" vertical="center" wrapText="1"/>
    </xf>
    <xf numFmtId="3" fontId="74" fillId="29" borderId="0" xfId="0" applyNumberFormat="1" applyFont="1" applyFill="1" applyBorder="1" applyAlignment="1">
      <alignment horizontal="right" vertical="center" wrapText="1"/>
    </xf>
    <xf numFmtId="0" fontId="102" fillId="29" borderId="0" xfId="0" applyFont="1" applyFill="1" applyBorder="1" applyAlignment="1">
      <alignment horizontal="center" vertical="center"/>
    </xf>
    <xf numFmtId="3" fontId="75" fillId="29" borderId="0" xfId="0" applyNumberFormat="1" applyFont="1" applyFill="1" applyBorder="1" applyAlignment="1">
      <alignment vertical="center"/>
    </xf>
    <xf numFmtId="171" fontId="74" fillId="29" borderId="0" xfId="0" applyNumberFormat="1" applyFont="1" applyFill="1" applyBorder="1" applyAlignment="1">
      <alignment horizontal="right" vertical="center"/>
    </xf>
    <xf numFmtId="0" fontId="5" fillId="29" borderId="0" xfId="0" applyFont="1" applyFill="1" applyBorder="1" applyAlignment="1">
      <alignment horizontal="right" vertical="center"/>
    </xf>
    <xf numFmtId="0" fontId="102" fillId="29" borderId="0" xfId="0" applyFont="1" applyFill="1" applyBorder="1" applyAlignment="1">
      <alignment vertical="center"/>
    </xf>
    <xf numFmtId="3" fontId="97" fillId="29" borderId="0" xfId="0" applyNumberFormat="1" applyFont="1" applyFill="1" applyBorder="1" applyAlignment="1">
      <alignment vertical="center"/>
    </xf>
    <xf numFmtId="0" fontId="102" fillId="29" borderId="0" xfId="0" applyFont="1" applyFill="1" applyBorder="1" applyAlignment="1">
      <alignment horizontal="right" vertical="center"/>
    </xf>
    <xf numFmtId="3" fontId="74" fillId="29" borderId="0" xfId="0" applyNumberFormat="1" applyFont="1" applyFill="1" applyBorder="1" applyAlignment="1">
      <alignment horizontal="right" vertical="center"/>
    </xf>
    <xf numFmtId="170" fontId="102" fillId="29" borderId="0" xfId="0" applyNumberFormat="1" applyFont="1" applyFill="1" applyBorder="1" applyAlignment="1">
      <alignment vertical="center"/>
    </xf>
    <xf numFmtId="170" fontId="97" fillId="29" borderId="0" xfId="0" applyNumberFormat="1" applyFont="1" applyFill="1" applyBorder="1" applyAlignment="1">
      <alignment vertical="center"/>
    </xf>
    <xf numFmtId="170" fontId="102" fillId="29" borderId="0" xfId="0" applyNumberFormat="1" applyFont="1" applyFill="1" applyBorder="1" applyAlignment="1">
      <alignment horizontal="right" vertical="center"/>
    </xf>
    <xf numFmtId="170" fontId="74" fillId="29" borderId="0" xfId="0" applyNumberFormat="1" applyFont="1" applyFill="1" applyBorder="1" applyAlignment="1">
      <alignment vertical="center"/>
    </xf>
    <xf numFmtId="171" fontId="103" fillId="29" borderId="0" xfId="0" applyNumberFormat="1" applyFont="1" applyFill="1" applyBorder="1" applyAlignment="1">
      <alignment horizontal="right" vertical="center"/>
    </xf>
    <xf numFmtId="3" fontId="102" fillId="29" borderId="0" xfId="0" applyNumberFormat="1" applyFont="1" applyFill="1" applyBorder="1" applyAlignment="1">
      <alignment horizontal="left" vertical="center" wrapText="1"/>
    </xf>
    <xf numFmtId="3" fontId="102" fillId="29" borderId="0" xfId="0" applyNumberFormat="1" applyFont="1" applyFill="1" applyBorder="1" applyAlignment="1">
      <alignment horizontal="center" vertical="center" wrapText="1"/>
    </xf>
    <xf numFmtId="171" fontId="102" fillId="29" borderId="0" xfId="0" applyNumberFormat="1" applyFont="1" applyFill="1" applyBorder="1" applyAlignment="1">
      <alignment horizontal="left" vertical="center" wrapText="1"/>
    </xf>
    <xf numFmtId="180" fontId="102" fillId="29" borderId="0" xfId="0" applyNumberFormat="1" applyFont="1" applyFill="1" applyBorder="1" applyAlignment="1">
      <alignment vertical="center"/>
    </xf>
    <xf numFmtId="171" fontId="102" fillId="29" borderId="0" xfId="0" applyNumberFormat="1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left" vertical="center" wrapText="1" shrinkToFit="1"/>
    </xf>
    <xf numFmtId="0" fontId="102" fillId="29" borderId="0" xfId="0" applyFont="1" applyFill="1" applyBorder="1" applyAlignment="1">
      <alignment horizontal="left" vertical="center" wrapText="1" shrinkToFit="1"/>
    </xf>
    <xf numFmtId="0" fontId="102" fillId="29" borderId="0" xfId="0" applyFont="1" applyFill="1" applyAlignment="1">
      <alignment vertical="center"/>
    </xf>
    <xf numFmtId="171" fontId="97" fillId="29" borderId="0" xfId="0" applyNumberFormat="1" applyFont="1" applyFill="1" applyBorder="1" applyAlignment="1">
      <alignment vertical="center" wrapText="1"/>
    </xf>
    <xf numFmtId="0" fontId="97" fillId="29" borderId="0" xfId="0" applyFont="1" applyFill="1" applyBorder="1" applyAlignment="1">
      <alignment horizontal="left" vertical="center" wrapText="1"/>
    </xf>
    <xf numFmtId="0" fontId="98" fillId="29" borderId="0" xfId="0" applyFont="1" applyFill="1" applyBorder="1" applyAlignment="1">
      <alignment vertical="center"/>
    </xf>
    <xf numFmtId="0" fontId="99" fillId="29" borderId="0" xfId="0" applyFont="1" applyFill="1" applyBorder="1" applyAlignment="1">
      <alignment vertical="center"/>
    </xf>
    <xf numFmtId="0" fontId="5" fillId="29" borderId="0" xfId="0" applyFont="1" applyFill="1" applyBorder="1" applyAlignment="1">
      <alignment vertical="center" wrapText="1"/>
    </xf>
    <xf numFmtId="170" fontId="4" fillId="29" borderId="0" xfId="0" applyNumberFormat="1" applyFont="1" applyFill="1" applyBorder="1" applyAlignment="1">
      <alignment horizontal="center" vertical="center"/>
    </xf>
    <xf numFmtId="170" fontId="78" fillId="29" borderId="0" xfId="0" applyNumberFormat="1" applyFont="1" applyFill="1" applyBorder="1" applyAlignment="1">
      <alignment vertical="center"/>
    </xf>
    <xf numFmtId="171" fontId="74" fillId="29" borderId="0" xfId="0" applyNumberFormat="1" applyFont="1" applyFill="1" applyBorder="1" applyAlignment="1">
      <alignment horizontal="left" vertical="center" wrapText="1"/>
    </xf>
    <xf numFmtId="0" fontId="100" fillId="29" borderId="0" xfId="0" applyFont="1" applyFill="1" applyBorder="1" applyAlignment="1">
      <alignment vertical="center"/>
    </xf>
    <xf numFmtId="1" fontId="78" fillId="29" borderId="0" xfId="0" applyNumberFormat="1" applyFont="1" applyFill="1" applyBorder="1" applyAlignment="1">
      <alignment horizontal="right" vertical="center" wrapText="1"/>
    </xf>
    <xf numFmtId="170" fontId="78" fillId="29" borderId="0" xfId="0" applyNumberFormat="1" applyFont="1" applyFill="1" applyBorder="1" applyAlignment="1">
      <alignment horizontal="right" vertical="center" wrapText="1"/>
    </xf>
    <xf numFmtId="0" fontId="78" fillId="29" borderId="0" xfId="0" applyFont="1" applyFill="1" applyBorder="1" applyAlignment="1">
      <alignment horizontal="right" vertical="center"/>
    </xf>
    <xf numFmtId="0" fontId="90" fillId="29" borderId="0" xfId="0" applyFont="1" applyFill="1" applyBorder="1" applyAlignment="1">
      <alignment vertical="center"/>
    </xf>
    <xf numFmtId="171" fontId="5" fillId="29" borderId="0" xfId="0" applyNumberFormat="1" applyFont="1" applyFill="1" applyBorder="1" applyAlignment="1">
      <alignment horizontal="right" vertical="center" wrapText="1"/>
    </xf>
    <xf numFmtId="171" fontId="5" fillId="29" borderId="0" xfId="0" applyNumberFormat="1" applyFont="1" applyFill="1" applyBorder="1" applyAlignment="1">
      <alignment horizontal="right" vertical="center"/>
    </xf>
    <xf numFmtId="171" fontId="5" fillId="29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33" borderId="0" xfId="0" applyFont="1" applyFill="1" applyBorder="1" applyAlignment="1">
      <alignment horizontal="left" vertical="center"/>
    </xf>
    <xf numFmtId="0" fontId="5" fillId="29" borderId="3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71" fontId="4" fillId="34" borderId="3" xfId="248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4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171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2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4" fillId="0" borderId="0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16" xfId="248" applyFont="1" applyFill="1" applyBorder="1" applyAlignment="1">
      <alignment horizontal="center" vertical="center" wrapText="1"/>
    </xf>
    <xf numFmtId="0" fontId="4" fillId="0" borderId="3" xfId="248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171" fontId="5" fillId="0" borderId="0" xfId="0" quotePrefix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9" xfId="24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4" fillId="29" borderId="3" xfId="248" applyFont="1" applyFill="1" applyBorder="1" applyAlignment="1">
      <alignment horizontal="left" vertical="center" wrapText="1"/>
    </xf>
    <xf numFmtId="0" fontId="9" fillId="34" borderId="17" xfId="0" applyFont="1" applyFill="1" applyBorder="1" applyAlignment="1">
      <alignment horizontal="left" vertical="center"/>
    </xf>
    <xf numFmtId="0" fontId="9" fillId="34" borderId="18" xfId="0" applyFont="1" applyFill="1" applyBorder="1" applyAlignment="1">
      <alignment horizontal="left" vertical="center"/>
    </xf>
    <xf numFmtId="0" fontId="9" fillId="34" borderId="14" xfId="0" applyFont="1" applyFill="1" applyBorder="1" applyAlignment="1">
      <alignment horizontal="left" vertical="center"/>
    </xf>
    <xf numFmtId="0" fontId="5" fillId="34" borderId="17" xfId="0" applyFont="1" applyFill="1" applyBorder="1" applyAlignment="1">
      <alignment horizontal="left" vertical="center"/>
    </xf>
    <xf numFmtId="0" fontId="5" fillId="34" borderId="18" xfId="0" applyFont="1" applyFill="1" applyBorder="1" applyAlignment="1">
      <alignment horizontal="left" vertical="center"/>
    </xf>
    <xf numFmtId="0" fontId="5" fillId="34" borderId="1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9" fillId="34" borderId="3" xfId="0" applyFont="1" applyFill="1" applyBorder="1" applyAlignment="1">
      <alignment horizontal="center" vertical="center" wrapText="1"/>
    </xf>
    <xf numFmtId="0" fontId="9" fillId="34" borderId="17" xfId="0" applyFont="1" applyFill="1" applyBorder="1" applyAlignment="1">
      <alignment horizontal="center" vertical="center" wrapText="1"/>
    </xf>
    <xf numFmtId="0" fontId="9" fillId="34" borderId="18" xfId="0" applyFont="1" applyFill="1" applyBorder="1" applyAlignment="1">
      <alignment horizontal="center" vertical="center" wrapText="1"/>
    </xf>
    <xf numFmtId="0" fontId="9" fillId="34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3" fontId="5" fillId="29" borderId="17" xfId="0" applyNumberFormat="1" applyFont="1" applyFill="1" applyBorder="1" applyAlignment="1">
      <alignment horizontal="left" vertical="center" wrapText="1"/>
    </xf>
    <xf numFmtId="3" fontId="5" fillId="29" borderId="18" xfId="0" applyNumberFormat="1" applyFont="1" applyFill="1" applyBorder="1" applyAlignment="1">
      <alignment horizontal="left" vertical="center" wrapText="1"/>
    </xf>
    <xf numFmtId="3" fontId="5" fillId="29" borderId="14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0" fillId="0" borderId="14" xfId="0" applyFill="1" applyBorder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0" fillId="0" borderId="14" xfId="0" applyFill="1" applyBorder="1" applyAlignment="1">
      <alignment horizontal="left" vertical="center" wrapText="1" shrinkToFit="1"/>
    </xf>
    <xf numFmtId="0" fontId="4" fillId="33" borderId="0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left" vertical="center" wrapText="1" shrinkToFit="1"/>
    </xf>
    <xf numFmtId="0" fontId="5" fillId="29" borderId="21" xfId="0" applyFont="1" applyFill="1" applyBorder="1" applyAlignment="1">
      <alignment horizontal="center" vertical="center" wrapText="1"/>
    </xf>
    <xf numFmtId="0" fontId="5" fillId="29" borderId="20" xfId="0" applyFont="1" applyFill="1" applyBorder="1" applyAlignment="1">
      <alignment horizontal="center" vertical="center" wrapText="1"/>
    </xf>
    <xf numFmtId="0" fontId="0" fillId="29" borderId="22" xfId="0" applyFill="1" applyBorder="1" applyAlignment="1">
      <alignment horizontal="center" vertical="center" wrapText="1"/>
    </xf>
    <xf numFmtId="0" fontId="0" fillId="29" borderId="23" xfId="0" applyFill="1" applyBorder="1" applyAlignment="1">
      <alignment horizontal="center" vertical="center" wrapText="1"/>
    </xf>
    <xf numFmtId="0" fontId="0" fillId="29" borderId="0" xfId="0" applyFill="1" applyBorder="1" applyAlignment="1">
      <alignment horizontal="center" vertical="center" wrapText="1"/>
    </xf>
    <xf numFmtId="0" fontId="0" fillId="29" borderId="24" xfId="0" applyFill="1" applyBorder="1" applyAlignment="1">
      <alignment horizontal="center" vertical="center" wrapText="1"/>
    </xf>
    <xf numFmtId="0" fontId="0" fillId="29" borderId="25" xfId="0" applyFill="1" applyBorder="1" applyAlignment="1">
      <alignment horizontal="center" vertical="center" wrapText="1"/>
    </xf>
    <xf numFmtId="0" fontId="0" fillId="29" borderId="13" xfId="0" applyFill="1" applyBorder="1" applyAlignment="1">
      <alignment horizontal="center" vertical="center" wrapText="1"/>
    </xf>
    <xf numFmtId="0" fontId="0" fillId="29" borderId="15" xfId="0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 wrapText="1"/>
    </xf>
    <xf numFmtId="0" fontId="0" fillId="29" borderId="14" xfId="0" applyFill="1" applyBorder="1" applyAlignment="1">
      <alignment horizontal="center" vertical="center" wrapText="1"/>
    </xf>
    <xf numFmtId="0" fontId="7" fillId="29" borderId="17" xfId="0" applyFont="1" applyFill="1" applyBorder="1" applyAlignment="1">
      <alignment horizontal="left" vertical="center" wrapText="1"/>
    </xf>
    <xf numFmtId="0" fontId="7" fillId="29" borderId="18" xfId="0" applyFont="1" applyFill="1" applyBorder="1" applyAlignment="1">
      <alignment horizontal="left" vertical="center" wrapText="1"/>
    </xf>
    <xf numFmtId="0" fontId="7" fillId="29" borderId="14" xfId="0" applyFont="1" applyFill="1" applyBorder="1" applyAlignment="1">
      <alignment horizontal="left" vertical="center" wrapText="1"/>
    </xf>
    <xf numFmtId="49" fontId="5" fillId="29" borderId="17" xfId="0" applyNumberFormat="1" applyFont="1" applyFill="1" applyBorder="1" applyAlignment="1">
      <alignment horizontal="left" vertical="center" wrapText="1"/>
    </xf>
    <xf numFmtId="49" fontId="5" fillId="29" borderId="18" xfId="0" applyNumberFormat="1" applyFont="1" applyFill="1" applyBorder="1" applyAlignment="1">
      <alignment horizontal="left" vertical="center" wrapText="1"/>
    </xf>
    <xf numFmtId="0" fontId="0" fillId="29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0" fontId="72" fillId="0" borderId="1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left"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5" fillId="32" borderId="17" xfId="0" applyFont="1" applyFill="1" applyBorder="1" applyAlignment="1">
      <alignment horizontal="center" vertical="center" wrapText="1"/>
    </xf>
    <xf numFmtId="0" fontId="5" fillId="32" borderId="18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0" fillId="0" borderId="22" xfId="0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0" fillId="0" borderId="24" xfId="0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0" fillId="0" borderId="15" xfId="0" applyFill="1" applyBorder="1" applyAlignment="1">
      <alignment horizontal="center" vertical="center" wrapText="1" shrinkToFit="1"/>
    </xf>
    <xf numFmtId="0" fontId="5" fillId="30" borderId="17" xfId="0" applyFont="1" applyFill="1" applyBorder="1" applyAlignment="1">
      <alignment horizontal="center" vertical="center" wrapText="1"/>
    </xf>
    <xf numFmtId="0" fontId="5" fillId="30" borderId="18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/>
    </xf>
    <xf numFmtId="171" fontId="5" fillId="0" borderId="3" xfId="0" applyNumberFormat="1" applyFont="1" applyFill="1" applyBorder="1" applyAlignment="1">
      <alignment horizontal="right" vertical="center" wrapText="1"/>
    </xf>
    <xf numFmtId="171" fontId="86" fillId="0" borderId="3" xfId="0" applyNumberFormat="1" applyFont="1" applyFill="1" applyBorder="1" applyAlignment="1">
      <alignment horizontal="right" vertical="center" wrapText="1"/>
    </xf>
    <xf numFmtId="0" fontId="7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33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5" fillId="31" borderId="17" xfId="0" applyFont="1" applyFill="1" applyBorder="1" applyAlignment="1">
      <alignment horizontal="center" vertical="center" wrapText="1"/>
    </xf>
    <xf numFmtId="0" fontId="5" fillId="31" borderId="18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Денежный 3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239"/>
    <cellStyle name="Обычный 2" xfId="240"/>
    <cellStyle name="Обычный 2 10" xfId="241"/>
    <cellStyle name="Обычный 2 11" xfId="242"/>
    <cellStyle name="Обычный 2 12" xfId="243"/>
    <cellStyle name="Обычный 2 13" xfId="244"/>
    <cellStyle name="Обычный 2 14" xfId="245"/>
    <cellStyle name="Обычный 2 15" xfId="246"/>
    <cellStyle name="Обычный 2 16" xfId="247"/>
    <cellStyle name="Обычный 2 2" xfId="248"/>
    <cellStyle name="Обычный 2 2 2" xfId="249"/>
    <cellStyle name="Обычный 2 2 3" xfId="250"/>
    <cellStyle name="Обычный 2 2_Расшифровка прочих" xfId="251"/>
    <cellStyle name="Обычный 2 3" xfId="252"/>
    <cellStyle name="Обычный 2 4" xfId="253"/>
    <cellStyle name="Обычный 2 5" xfId="254"/>
    <cellStyle name="Обычный 2 6" xfId="255"/>
    <cellStyle name="Обычный 2 7" xfId="256"/>
    <cellStyle name="Обычный 2 8" xfId="257"/>
    <cellStyle name="Обычный 2 9" xfId="258"/>
    <cellStyle name="Обычный 2_2604-2010" xfId="259"/>
    <cellStyle name="Обычный 3" xfId="260"/>
    <cellStyle name="Обычный 3 10" xfId="261"/>
    <cellStyle name="Обычный 3 11" xfId="262"/>
    <cellStyle name="Обычный 3 12" xfId="263"/>
    <cellStyle name="Обычный 3 13" xfId="264"/>
    <cellStyle name="Обычный 3 14" xfId="265"/>
    <cellStyle name="Обычный 3 2" xfId="266"/>
    <cellStyle name="Обычный 3 3" xfId="267"/>
    <cellStyle name="Обычный 3 4" xfId="268"/>
    <cellStyle name="Обычный 3 5" xfId="269"/>
    <cellStyle name="Обычный 3 6" xfId="270"/>
    <cellStyle name="Обычный 3 7" xfId="271"/>
    <cellStyle name="Обычный 3 8" xfId="272"/>
    <cellStyle name="Обычный 3 9" xfId="273"/>
    <cellStyle name="Обычный 3_Дефицит_7 млрд_0608_бс" xfId="274"/>
    <cellStyle name="Обычный 4" xfId="275"/>
    <cellStyle name="Обычный 5" xfId="276"/>
    <cellStyle name="Обычный 5 2" xfId="277"/>
    <cellStyle name="Обычный 6" xfId="278"/>
    <cellStyle name="Обычный 6 2" xfId="279"/>
    <cellStyle name="Обычный 6 3" xfId="280"/>
    <cellStyle name="Обычный 6 4" xfId="281"/>
    <cellStyle name="Обычный 6_Дефицит_7 млрд_0608_бс" xfId="282"/>
    <cellStyle name="Обычный 7" xfId="283"/>
    <cellStyle name="Обычный 7 2" xfId="284"/>
    <cellStyle name="Обычный 8" xfId="285"/>
    <cellStyle name="Обычный 9" xfId="286"/>
    <cellStyle name="Обычный 9 2" xfId="287"/>
    <cellStyle name="Плохой 2" xfId="288"/>
    <cellStyle name="Плохой 3" xfId="289"/>
    <cellStyle name="Пояснение 2" xfId="290"/>
    <cellStyle name="Пояснение 3" xfId="291"/>
    <cellStyle name="Примечание 2" xfId="292"/>
    <cellStyle name="Примечание 3" xfId="293"/>
    <cellStyle name="Процентный 2" xfId="294"/>
    <cellStyle name="Процентный 2 10" xfId="295"/>
    <cellStyle name="Процентный 2 11" xfId="296"/>
    <cellStyle name="Процентный 2 12" xfId="297"/>
    <cellStyle name="Процентный 2 13" xfId="298"/>
    <cellStyle name="Процентный 2 14" xfId="299"/>
    <cellStyle name="Процентный 2 15" xfId="300"/>
    <cellStyle name="Процентный 2 16" xfId="301"/>
    <cellStyle name="Процентный 2 2" xfId="302"/>
    <cellStyle name="Процентный 2 3" xfId="303"/>
    <cellStyle name="Процентный 2 4" xfId="304"/>
    <cellStyle name="Процентный 2 5" xfId="305"/>
    <cellStyle name="Процентный 2 6" xfId="306"/>
    <cellStyle name="Процентный 2 7" xfId="307"/>
    <cellStyle name="Процентный 2 8" xfId="308"/>
    <cellStyle name="Процентный 2 9" xfId="309"/>
    <cellStyle name="Процентный 3" xfId="310"/>
    <cellStyle name="Процентный 4" xfId="311"/>
    <cellStyle name="Процентный 4 2" xfId="312"/>
    <cellStyle name="Связанная ячейка 2" xfId="313"/>
    <cellStyle name="Связанная ячейка 3" xfId="314"/>
    <cellStyle name="Стиль 1" xfId="315"/>
    <cellStyle name="Стиль 1 2" xfId="316"/>
    <cellStyle name="Стиль 1 3" xfId="317"/>
    <cellStyle name="Стиль 1 4" xfId="318"/>
    <cellStyle name="Стиль 1 5" xfId="319"/>
    <cellStyle name="Стиль 1 6" xfId="320"/>
    <cellStyle name="Стиль 1 7" xfId="321"/>
    <cellStyle name="Текст предупреждения 2" xfId="322"/>
    <cellStyle name="Текст предупреждения 3" xfId="323"/>
    <cellStyle name="Тысячи [0]_1.62" xfId="324"/>
    <cellStyle name="Тысячи_1.62" xfId="325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colors>
    <mruColors>
      <color rgb="FFFFFFCC"/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21"/>
  <sheetViews>
    <sheetView tabSelected="1" view="pageBreakPreview" zoomScale="60" zoomScaleNormal="60" workbookViewId="0">
      <selection activeCell="D22" sqref="D22"/>
    </sheetView>
  </sheetViews>
  <sheetFormatPr defaultRowHeight="18.75" outlineLevelRow="1"/>
  <cols>
    <col min="1" max="1" width="69.28515625" style="3" customWidth="1"/>
    <col min="2" max="2" width="9.7109375" style="21" customWidth="1"/>
    <col min="3" max="5" width="18" style="21" customWidth="1"/>
    <col min="6" max="9" width="16.7109375" style="3" customWidth="1"/>
    <col min="10" max="10" width="16.85546875" style="3" customWidth="1"/>
    <col min="11" max="11" width="10" style="3" customWidth="1"/>
    <col min="12" max="16384" width="9.140625" style="3"/>
  </cols>
  <sheetData>
    <row r="1" spans="1:10" ht="20.100000000000001" customHeight="1">
      <c r="B1" s="3"/>
      <c r="C1" s="3"/>
      <c r="D1" s="3"/>
      <c r="E1" s="3"/>
    </row>
    <row r="2" spans="1:10" ht="20.100000000000001" hidden="1" customHeight="1" outlineLevel="1">
      <c r="B2" s="3"/>
      <c r="C2" s="3"/>
      <c r="D2" s="3"/>
      <c r="E2" s="3"/>
    </row>
    <row r="3" spans="1:10" ht="20.100000000000001" hidden="1" customHeight="1" outlineLevel="1">
      <c r="B3" s="3"/>
      <c r="C3" s="3"/>
      <c r="D3" s="3"/>
      <c r="E3" s="3"/>
    </row>
    <row r="4" spans="1:10" ht="20.100000000000001" hidden="1" customHeight="1" outlineLevel="1">
      <c r="B4" s="3"/>
      <c r="C4" s="3"/>
      <c r="D4" s="3"/>
      <c r="E4" s="3"/>
    </row>
    <row r="5" spans="1:10" ht="19.5" hidden="1" customHeight="1" outlineLevel="1">
      <c r="A5" s="50"/>
      <c r="B5" s="3"/>
    </row>
    <row r="6" spans="1:10" collapsed="1">
      <c r="A6" s="692" t="s">
        <v>257</v>
      </c>
      <c r="B6" s="692"/>
      <c r="C6" s="692"/>
      <c r="D6" s="692"/>
      <c r="E6" s="692"/>
      <c r="F6" s="692"/>
      <c r="G6" s="692"/>
      <c r="H6" s="692"/>
      <c r="I6" s="692"/>
      <c r="J6" s="692"/>
    </row>
    <row r="7" spans="1:10">
      <c r="A7" s="693" t="s">
        <v>447</v>
      </c>
      <c r="B7" s="693"/>
      <c r="C7" s="693"/>
      <c r="D7" s="693"/>
      <c r="E7" s="693"/>
      <c r="F7" s="693"/>
      <c r="G7" s="693"/>
      <c r="H7" s="693"/>
      <c r="I7" s="693"/>
      <c r="J7" s="693"/>
    </row>
    <row r="8" spans="1:10">
      <c r="A8" s="692" t="s">
        <v>462</v>
      </c>
      <c r="B8" s="692"/>
      <c r="C8" s="692"/>
      <c r="D8" s="692"/>
      <c r="E8" s="692"/>
      <c r="F8" s="692"/>
      <c r="G8" s="692"/>
      <c r="H8" s="692"/>
      <c r="I8" s="692"/>
      <c r="J8" s="692"/>
    </row>
    <row r="9" spans="1:10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.75" customHeight="1">
      <c r="A10" s="692" t="s">
        <v>169</v>
      </c>
      <c r="B10" s="692"/>
      <c r="C10" s="692"/>
      <c r="D10" s="692"/>
      <c r="E10" s="692"/>
      <c r="F10" s="692"/>
      <c r="G10" s="692"/>
      <c r="H10" s="692"/>
      <c r="I10" s="692"/>
      <c r="J10" s="692"/>
    </row>
    <row r="11" spans="1:10" ht="12" customHeight="1">
      <c r="B11" s="23"/>
      <c r="C11" s="4"/>
      <c r="D11" s="4"/>
      <c r="E11" s="4"/>
      <c r="F11" s="23"/>
      <c r="G11" s="23"/>
      <c r="H11" s="23"/>
      <c r="I11" s="23"/>
      <c r="J11" s="23"/>
    </row>
    <row r="12" spans="1:10" ht="31.5" customHeight="1">
      <c r="A12" s="696" t="s">
        <v>195</v>
      </c>
      <c r="B12" s="697" t="s">
        <v>7</v>
      </c>
      <c r="C12" s="705" t="s">
        <v>17</v>
      </c>
      <c r="D12" s="705" t="s">
        <v>291</v>
      </c>
      <c r="E12" s="705" t="s">
        <v>287</v>
      </c>
      <c r="F12" s="697" t="s">
        <v>115</v>
      </c>
      <c r="G12" s="697" t="s">
        <v>288</v>
      </c>
      <c r="H12" s="697"/>
      <c r="I12" s="697"/>
      <c r="J12" s="697"/>
    </row>
    <row r="13" spans="1:10" ht="54.75" customHeight="1">
      <c r="A13" s="696"/>
      <c r="B13" s="697"/>
      <c r="C13" s="706"/>
      <c r="D13" s="709"/>
      <c r="E13" s="709"/>
      <c r="F13" s="697"/>
      <c r="G13" s="15" t="s">
        <v>154</v>
      </c>
      <c r="H13" s="15" t="s">
        <v>155</v>
      </c>
      <c r="I13" s="15" t="s">
        <v>156</v>
      </c>
      <c r="J13" s="15" t="s">
        <v>61</v>
      </c>
    </row>
    <row r="14" spans="1:10" ht="20.100000000000001" customHeight="1">
      <c r="A14" s="6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</row>
    <row r="15" spans="1:10" ht="24.95" customHeight="1">
      <c r="A15" s="704" t="s">
        <v>86</v>
      </c>
      <c r="B15" s="704"/>
      <c r="C15" s="704"/>
      <c r="D15" s="704"/>
      <c r="E15" s="704"/>
      <c r="F15" s="704"/>
      <c r="G15" s="704"/>
      <c r="H15" s="704"/>
      <c r="I15" s="704"/>
      <c r="J15" s="704"/>
    </row>
    <row r="16" spans="1:10" ht="20.100000000000001" customHeight="1">
      <c r="A16" s="56" t="s">
        <v>170</v>
      </c>
      <c r="B16" s="6">
        <f>'1.Фінансовий результат'!B33</f>
        <v>1040</v>
      </c>
      <c r="C16" s="12">
        <f>'1.Фінансовий результат'!C33</f>
        <v>27035.5</v>
      </c>
      <c r="D16" s="12">
        <f>'1.Фінансовий результат'!D33</f>
        <v>38163.299999999996</v>
      </c>
      <c r="E16" s="12">
        <f>'1.Фінансовий результат'!E33</f>
        <v>33528.199999999997</v>
      </c>
      <c r="F16" s="12">
        <f>'1.Фінансовий результат'!F33</f>
        <v>34223.5</v>
      </c>
      <c r="G16" s="12">
        <f>'1.Фінансовий результат'!G33</f>
        <v>9441.5</v>
      </c>
      <c r="H16" s="12">
        <f>'1.Фінансовий результат'!H33</f>
        <v>8170.4</v>
      </c>
      <c r="I16" s="12">
        <f>'1.Фінансовий результат'!I33</f>
        <v>8195.9</v>
      </c>
      <c r="J16" s="12">
        <f>'1.Фінансовий результат'!J33</f>
        <v>8415.7000000000007</v>
      </c>
    </row>
    <row r="17" spans="1:10" ht="20.100000000000001" customHeight="1">
      <c r="A17" s="56" t="s">
        <v>142</v>
      </c>
      <c r="B17" s="6">
        <f>'1.Фінансовий результат'!B34</f>
        <v>1050</v>
      </c>
      <c r="C17" s="12">
        <f>'1.Фінансовий результат'!C34</f>
        <v>18652.7</v>
      </c>
      <c r="D17" s="12">
        <f>'1.Фінансовий результат'!D34</f>
        <v>30314.899999999998</v>
      </c>
      <c r="E17" s="12">
        <f>'1.Фінансовий результат'!E34</f>
        <v>25441</v>
      </c>
      <c r="F17" s="12">
        <f>'1.Фінансовий результат'!F34</f>
        <v>25231.1</v>
      </c>
      <c r="G17" s="12">
        <f>'1.Фінансовий результат'!G34</f>
        <v>7145.7999999999993</v>
      </c>
      <c r="H17" s="12">
        <f>'1.Фінансовий результат'!H34</f>
        <v>5943</v>
      </c>
      <c r="I17" s="12">
        <f>'1.Фінансовий результат'!I34</f>
        <v>5934.3</v>
      </c>
      <c r="J17" s="12">
        <f>'1.Фінансовий результат'!J34</f>
        <v>6207.9999999999991</v>
      </c>
    </row>
    <row r="18" spans="1:10" ht="37.5" customHeight="1">
      <c r="A18" s="57" t="s">
        <v>211</v>
      </c>
      <c r="B18" s="68">
        <f>'1.Фінансовий результат'!B69</f>
        <v>1060</v>
      </c>
      <c r="C18" s="88">
        <f>'1.Фінансовий результат'!C69</f>
        <v>8382.7999999999993</v>
      </c>
      <c r="D18" s="88">
        <f>'1.Фінансовий результат'!D69</f>
        <v>7848.3999999999978</v>
      </c>
      <c r="E18" s="88">
        <f>'1.Фінансовий результат'!E69</f>
        <v>8087.1999999999971</v>
      </c>
      <c r="F18" s="88">
        <f>'1.Фінансовий результат'!F69</f>
        <v>8992.4000000000015</v>
      </c>
      <c r="G18" s="88">
        <f>'1.Фінансовий результат'!G69</f>
        <v>2295.7000000000007</v>
      </c>
      <c r="H18" s="88">
        <f>'1.Фінансовий результат'!H69</f>
        <v>2227.3999999999996</v>
      </c>
      <c r="I18" s="88">
        <f>'1.Фінансовий результат'!I69</f>
        <v>2261.5999999999995</v>
      </c>
      <c r="J18" s="88">
        <f>'1.Фінансовий результат'!J69</f>
        <v>2207.7000000000016</v>
      </c>
    </row>
    <row r="19" spans="1:10" ht="20.100000000000001" customHeight="1">
      <c r="A19" s="56" t="s">
        <v>258</v>
      </c>
      <c r="B19" s="6">
        <f>'1.Фінансовий результат'!B70</f>
        <v>1070</v>
      </c>
      <c r="C19" s="12">
        <f>'1.Фінансовий результат'!C70</f>
        <v>447.6</v>
      </c>
      <c r="D19" s="12">
        <f>'1.Фінансовий результат'!D70</f>
        <v>927.6</v>
      </c>
      <c r="E19" s="12">
        <f>'1.Фінансовий результат'!E70</f>
        <v>1108.4000000000001</v>
      </c>
      <c r="F19" s="12">
        <f>'1.Фінансовий результат'!F70</f>
        <v>1080.9000000000001</v>
      </c>
      <c r="G19" s="12">
        <f>'1.Фінансовий результат'!G70</f>
        <v>400.5</v>
      </c>
      <c r="H19" s="12">
        <f>'1.Фінансовий результат'!H70</f>
        <v>182.7</v>
      </c>
      <c r="I19" s="12">
        <f>'1.Фінансовий результат'!I70</f>
        <v>183.2</v>
      </c>
      <c r="J19" s="12">
        <f>'1.Фінансовий результат'!J70</f>
        <v>314.5</v>
      </c>
    </row>
    <row r="20" spans="1:10" ht="20.100000000000001" customHeight="1">
      <c r="A20" s="56" t="s">
        <v>119</v>
      </c>
      <c r="B20" s="6">
        <f>'1.Фінансовий результат'!B74</f>
        <v>1080</v>
      </c>
      <c r="C20" s="12">
        <f>'1.Фінансовий результат'!C74</f>
        <v>5302.6</v>
      </c>
      <c r="D20" s="12">
        <f>'1.Фінансовий результат'!D74</f>
        <v>8238.5</v>
      </c>
      <c r="E20" s="12">
        <f>'1.Фінансовий результат'!E74</f>
        <v>8337</v>
      </c>
      <c r="F20" s="12">
        <f>'1.Фінансовий результат'!F74</f>
        <v>9196.4</v>
      </c>
      <c r="G20" s="12">
        <f>'1.Фінансовий результат'!G74</f>
        <v>2346.7000000000003</v>
      </c>
      <c r="H20" s="12">
        <f>'1.Фінансовий результат'!H74</f>
        <v>2278.4</v>
      </c>
      <c r="I20" s="12">
        <f>'1.Фінансовий результат'!I74</f>
        <v>2312.6</v>
      </c>
      <c r="J20" s="12">
        <f>'1.Фінансовий результат'!J74</f>
        <v>2258.7000000000003</v>
      </c>
    </row>
    <row r="21" spans="1:10" ht="20.100000000000001" customHeight="1">
      <c r="A21" s="56" t="s">
        <v>116</v>
      </c>
      <c r="B21" s="6">
        <f>'1.Фінансовий результат'!B105</f>
        <v>1110</v>
      </c>
      <c r="C21" s="12">
        <f>'1.Фінансовий результат'!C105</f>
        <v>0</v>
      </c>
      <c r="D21" s="12">
        <f>'1.Фінансовий результат'!D105</f>
        <v>0</v>
      </c>
      <c r="E21" s="12">
        <f>'1.Фінансовий результат'!E105</f>
        <v>0</v>
      </c>
      <c r="F21" s="12">
        <f>'1.Фінансовий результат'!F105</f>
        <v>0</v>
      </c>
      <c r="G21" s="12">
        <f>'1.Фінансовий результат'!G105</f>
        <v>0</v>
      </c>
      <c r="H21" s="12">
        <f>'1.Фінансовий результат'!H105</f>
        <v>0</v>
      </c>
      <c r="I21" s="12">
        <f>'1.Фінансовий результат'!I105</f>
        <v>0</v>
      </c>
      <c r="J21" s="12">
        <f>'1.Фінансовий результат'!J105</f>
        <v>0</v>
      </c>
    </row>
    <row r="22" spans="1:10" ht="20.100000000000001" customHeight="1">
      <c r="A22" s="56" t="s">
        <v>15</v>
      </c>
      <c r="B22" s="6">
        <f>'1.Фінансовий результат'!B112</f>
        <v>1120</v>
      </c>
      <c r="C22" s="12">
        <f>'1.Фінансовий результат'!C112</f>
        <v>171.5</v>
      </c>
      <c r="D22" s="12">
        <f>'1.Фінансовий результат'!D112</f>
        <v>537.5</v>
      </c>
      <c r="E22" s="12">
        <f>'1.Фінансовий результат'!E112</f>
        <v>858.59999999999991</v>
      </c>
      <c r="F22" s="12">
        <f>'1.Фінансовий результат'!F112</f>
        <v>876.9</v>
      </c>
      <c r="G22" s="12">
        <f>'1.Фінансовий результат'!G112</f>
        <v>349.5</v>
      </c>
      <c r="H22" s="12">
        <f>'1.Фінансовий результат'!H112</f>
        <v>131.69999999999999</v>
      </c>
      <c r="I22" s="12">
        <f>'1.Фінансовий результат'!I112</f>
        <v>132.19999999999999</v>
      </c>
      <c r="J22" s="12">
        <f>'1.Фінансовий результат'!J112</f>
        <v>263.5</v>
      </c>
    </row>
    <row r="23" spans="1:10" ht="38.25" customHeight="1">
      <c r="A23" s="80" t="s">
        <v>262</v>
      </c>
      <c r="B23" s="81">
        <f>'1.Фінансовий результат'!B129</f>
        <v>1130</v>
      </c>
      <c r="C23" s="89">
        <f>'1.Фінансовий результат'!C129</f>
        <v>3356.2999999999993</v>
      </c>
      <c r="D23" s="89">
        <f>'1.Фінансовий результат'!D129</f>
        <v>-1.8189894035458565E-12</v>
      </c>
      <c r="E23" s="89">
        <f>'1.Фінансовий результат'!E129</f>
        <v>-3.1832314562052488E-12</v>
      </c>
      <c r="F23" s="89">
        <f>'1.Фінансовий результат'!F129</f>
        <v>1.4779288903810084E-12</v>
      </c>
      <c r="G23" s="89">
        <f>'1.Фінансовий результат'!G129</f>
        <v>4.5474735088646412E-13</v>
      </c>
      <c r="H23" s="89">
        <f>'1.Фінансовий результат'!H129</f>
        <v>-6.2527760746888816E-13</v>
      </c>
      <c r="I23" s="89">
        <f>'1.Фінансовий результат'!I129</f>
        <v>-6.2527760746888816E-13</v>
      </c>
      <c r="J23" s="89">
        <f>'1.Фінансовий результат'!J129</f>
        <v>1.3642420526593924E-12</v>
      </c>
    </row>
    <row r="24" spans="1:10" ht="20.100000000000001" customHeight="1">
      <c r="A24" s="51" t="s">
        <v>270</v>
      </c>
      <c r="B24" s="6">
        <f>'1.Фінансовий результат'!B130</f>
        <v>1140</v>
      </c>
      <c r="C24" s="12">
        <f>'1.Фінансовий результат'!C130</f>
        <v>0</v>
      </c>
      <c r="D24" s="12">
        <f>'1.Фінансовий результат'!D130</f>
        <v>0</v>
      </c>
      <c r="E24" s="12">
        <f>'1.Фінансовий результат'!E130</f>
        <v>0</v>
      </c>
      <c r="F24" s="12">
        <f>'1.Фінансовий результат'!F130</f>
        <v>0</v>
      </c>
      <c r="G24" s="12">
        <f>'1.Фінансовий результат'!G130</f>
        <v>0</v>
      </c>
      <c r="H24" s="12">
        <f>'1.Фінансовий результат'!H130</f>
        <v>0</v>
      </c>
      <c r="I24" s="12">
        <f>'1.Фінансовий результат'!I130</f>
        <v>0</v>
      </c>
      <c r="J24" s="12">
        <f>'1.Фінансовий результат'!J130</f>
        <v>0</v>
      </c>
    </row>
    <row r="25" spans="1:10" ht="20.100000000000001" customHeight="1">
      <c r="A25" s="51" t="s">
        <v>271</v>
      </c>
      <c r="B25" s="6">
        <f>'1.Фінансовий результат'!B131</f>
        <v>1150</v>
      </c>
      <c r="C25" s="12">
        <f>'1.Фінансовий результат'!C131</f>
        <v>0</v>
      </c>
      <c r="D25" s="12">
        <f>'1.Фінансовий результат'!D131</f>
        <v>0</v>
      </c>
      <c r="E25" s="12">
        <f>'1.Фінансовий результат'!E131</f>
        <v>0</v>
      </c>
      <c r="F25" s="12">
        <f>'1.Фінансовий результат'!F131</f>
        <v>0</v>
      </c>
      <c r="G25" s="12">
        <f>'1.Фінансовий результат'!G131</f>
        <v>0</v>
      </c>
      <c r="H25" s="12">
        <f>'1.Фінансовий результат'!H131</f>
        <v>0</v>
      </c>
      <c r="I25" s="12">
        <f>'1.Фінансовий результат'!I131</f>
        <v>0</v>
      </c>
      <c r="J25" s="12">
        <f>'1.Фінансовий результат'!J131</f>
        <v>0</v>
      </c>
    </row>
    <row r="26" spans="1:10" ht="20.100000000000001" customHeight="1">
      <c r="A26" s="56" t="s">
        <v>259</v>
      </c>
      <c r="B26" s="6">
        <f>'1.Фінансовий результат'!B132</f>
        <v>1160</v>
      </c>
      <c r="C26" s="12">
        <f>'1.Фінансовий результат'!C132</f>
        <v>0</v>
      </c>
      <c r="D26" s="12">
        <f>'1.Фінансовий результат'!D132</f>
        <v>0</v>
      </c>
      <c r="E26" s="12">
        <f>'1.Фінансовий результат'!E132</f>
        <v>0</v>
      </c>
      <c r="F26" s="12">
        <f>'1.Фінансовий результат'!F132</f>
        <v>0</v>
      </c>
      <c r="G26" s="12">
        <f>'1.Фінансовий результат'!G132</f>
        <v>0</v>
      </c>
      <c r="H26" s="12">
        <f>'1.Фінансовий результат'!H132</f>
        <v>0</v>
      </c>
      <c r="I26" s="12">
        <f>'1.Фінансовий результат'!I132</f>
        <v>0</v>
      </c>
      <c r="J26" s="12">
        <f>'1.Фінансовий результат'!J132</f>
        <v>0</v>
      </c>
    </row>
    <row r="27" spans="1:10" ht="20.100000000000001" customHeight="1">
      <c r="A27" s="56" t="s">
        <v>260</v>
      </c>
      <c r="B27" s="6">
        <f>'1.Фінансовий результат'!B133</f>
        <v>1170</v>
      </c>
      <c r="C27" s="12">
        <f>'1.Фінансовий результат'!C133</f>
        <v>0</v>
      </c>
      <c r="D27" s="12">
        <f>'1.Фінансовий результат'!D133</f>
        <v>0</v>
      </c>
      <c r="E27" s="12">
        <f>'1.Фінансовий результат'!E133</f>
        <v>0</v>
      </c>
      <c r="F27" s="12">
        <f>'1.Фінансовий результат'!F133</f>
        <v>0</v>
      </c>
      <c r="G27" s="12">
        <f>'1.Фінансовий результат'!G133</f>
        <v>0</v>
      </c>
      <c r="H27" s="12">
        <f>'1.Фінансовий результат'!H133</f>
        <v>0</v>
      </c>
      <c r="I27" s="12">
        <f>'1.Фінансовий результат'!I133</f>
        <v>0</v>
      </c>
      <c r="J27" s="12">
        <f>'1.Фінансовий результат'!J133</f>
        <v>0</v>
      </c>
    </row>
    <row r="28" spans="1:10" ht="43.5" customHeight="1">
      <c r="A28" s="58" t="s">
        <v>264</v>
      </c>
      <c r="B28" s="68">
        <f>'1.Фінансовий результат'!B134</f>
        <v>1200</v>
      </c>
      <c r="C28" s="88">
        <f>'1.Фінансовий результат'!C134</f>
        <v>3356.2999999999993</v>
      </c>
      <c r="D28" s="88">
        <f>'1.Фінансовий результат'!D134</f>
        <v>-1.8189894035458565E-12</v>
      </c>
      <c r="E28" s="88">
        <f>'1.Фінансовий результат'!E134</f>
        <v>-3.1832314562052488E-12</v>
      </c>
      <c r="F28" s="88">
        <f>'1.Фінансовий результат'!F134</f>
        <v>1.4779288903810084E-12</v>
      </c>
      <c r="G28" s="88">
        <f>'1.Фінансовий результат'!G134</f>
        <v>4.5474735088646412E-13</v>
      </c>
      <c r="H28" s="88">
        <f>'1.Фінансовий результат'!H134</f>
        <v>-6.2527760746888816E-13</v>
      </c>
      <c r="I28" s="88">
        <f>'1.Фінансовий результат'!I134</f>
        <v>-6.2527760746888816E-13</v>
      </c>
      <c r="J28" s="88">
        <f>'1.Фінансовий результат'!J134</f>
        <v>1.3642420526593924E-12</v>
      </c>
    </row>
    <row r="29" spans="1:10" ht="20.100000000000001" customHeight="1">
      <c r="A29" s="11" t="s">
        <v>117</v>
      </c>
      <c r="B29" s="6">
        <f>'1.Фінансовий результат'!B135</f>
        <v>1210</v>
      </c>
      <c r="C29" s="12">
        <f>'1.Фінансовий результат'!C135</f>
        <v>0</v>
      </c>
      <c r="D29" s="12">
        <f>'1.Фінансовий результат'!D135</f>
        <v>0</v>
      </c>
      <c r="E29" s="12">
        <f>'1.Фінансовий результат'!E135</f>
        <v>0</v>
      </c>
      <c r="F29" s="12">
        <f>'1.Фінансовий результат'!F135</f>
        <v>0</v>
      </c>
      <c r="G29" s="12">
        <f>'1.Фінансовий результат'!G135</f>
        <v>0</v>
      </c>
      <c r="H29" s="12">
        <f>'1.Фінансовий результат'!H135</f>
        <v>0</v>
      </c>
      <c r="I29" s="12">
        <f>'1.Фінансовий результат'!I135</f>
        <v>0</v>
      </c>
      <c r="J29" s="12">
        <f>'1.Фінансовий результат'!J135</f>
        <v>0</v>
      </c>
    </row>
    <row r="30" spans="1:10" ht="35.25" customHeight="1">
      <c r="A30" s="80" t="s">
        <v>265</v>
      </c>
      <c r="B30" s="81">
        <f>'1.Фінансовий результат'!B137</f>
        <v>1230</v>
      </c>
      <c r="C30" s="89">
        <f>'1.Фінансовий результат'!C137</f>
        <v>3356.2999999999993</v>
      </c>
      <c r="D30" s="89">
        <f>'1.Фінансовий результат'!D137</f>
        <v>-1.8189894035458565E-12</v>
      </c>
      <c r="E30" s="89">
        <f>'1.Фінансовий результат'!E137</f>
        <v>-3.1832314562052488E-12</v>
      </c>
      <c r="F30" s="89">
        <f>'1.Фінансовий результат'!F137</f>
        <v>1.4779288903810084E-12</v>
      </c>
      <c r="G30" s="89">
        <f>'1.Фінансовий результат'!G137</f>
        <v>4.5474735088646412E-13</v>
      </c>
      <c r="H30" s="89">
        <f>'1.Фінансовий результат'!H137</f>
        <v>-6.2527760746888816E-13</v>
      </c>
      <c r="I30" s="89">
        <f>'1.Фінансовий результат'!I137</f>
        <v>-6.2527760746888816E-13</v>
      </c>
      <c r="J30" s="89">
        <f>'1.Фінансовий результат'!J137</f>
        <v>1.3642420526593924E-12</v>
      </c>
    </row>
    <row r="31" spans="1:10" ht="24.95" customHeight="1">
      <c r="A31" s="707" t="s">
        <v>128</v>
      </c>
      <c r="B31" s="707"/>
      <c r="C31" s="707"/>
      <c r="D31" s="707"/>
      <c r="E31" s="707"/>
      <c r="F31" s="707"/>
      <c r="G31" s="707"/>
      <c r="H31" s="707"/>
      <c r="I31" s="707"/>
      <c r="J31" s="707"/>
    </row>
    <row r="32" spans="1:10" ht="20.100000000000001" customHeight="1">
      <c r="A32" s="55" t="s">
        <v>196</v>
      </c>
      <c r="B32" s="6">
        <f>'2. Розрахунки з бюджетом'!B20</f>
        <v>2100</v>
      </c>
      <c r="C32" s="12">
        <f>'2. Розрахунки з бюджетом'!C20</f>
        <v>0</v>
      </c>
      <c r="D32" s="12">
        <f>'2. Розрахунки з бюджетом'!D20</f>
        <v>0</v>
      </c>
      <c r="E32" s="12">
        <f>'2. Розрахунки з бюджетом'!E20</f>
        <v>0</v>
      </c>
      <c r="F32" s="12">
        <f>'2. Розрахунки з бюджетом'!F20</f>
        <v>0</v>
      </c>
      <c r="G32" s="12">
        <f>'2. Розрахунки з бюджетом'!G20</f>
        <v>0</v>
      </c>
      <c r="H32" s="12">
        <f>'2. Розрахунки з бюджетом'!H20</f>
        <v>0</v>
      </c>
      <c r="I32" s="12">
        <f>'2. Розрахунки з бюджетом'!I20</f>
        <v>0</v>
      </c>
      <c r="J32" s="12">
        <f>'2. Розрахунки з бюджетом'!J20</f>
        <v>0</v>
      </c>
    </row>
    <row r="33" spans="1:10" ht="20.100000000000001" customHeight="1">
      <c r="A33" s="32" t="s">
        <v>127</v>
      </c>
      <c r="B33" s="6">
        <f>'2. Розрахунки з бюджетом'!B21</f>
        <v>2110</v>
      </c>
      <c r="C33" s="12">
        <f>'2. Розрахунки з бюджетом'!C21</f>
        <v>0</v>
      </c>
      <c r="D33" s="12">
        <f>'2. Розрахунки з бюджетом'!D21</f>
        <v>0</v>
      </c>
      <c r="E33" s="12">
        <f>'2. Розрахунки з бюджетом'!E21</f>
        <v>0</v>
      </c>
      <c r="F33" s="12">
        <f>'2. Розрахунки з бюджетом'!F21</f>
        <v>0</v>
      </c>
      <c r="G33" s="12">
        <f>'2. Розрахунки з бюджетом'!G21</f>
        <v>0</v>
      </c>
      <c r="H33" s="12">
        <f>'2. Розрахунки з бюджетом'!H21</f>
        <v>0</v>
      </c>
      <c r="I33" s="12">
        <f>'2. Розрахунки з бюджетом'!I21</f>
        <v>0</v>
      </c>
      <c r="J33" s="12">
        <f>'2. Розрахунки з бюджетом'!J21</f>
        <v>0</v>
      </c>
    </row>
    <row r="34" spans="1:10" ht="40.5" customHeight="1">
      <c r="A34" s="32" t="s">
        <v>232</v>
      </c>
      <c r="B34" s="6">
        <f>'2. Розрахунки з бюджетом'!B22</f>
        <v>2120</v>
      </c>
      <c r="C34" s="12">
        <f>'2. Розрахунки з бюджетом'!C22</f>
        <v>0</v>
      </c>
      <c r="D34" s="12">
        <f>'2. Розрахунки з бюджетом'!D22</f>
        <v>0</v>
      </c>
      <c r="E34" s="12">
        <f>'2. Розрахунки з бюджетом'!E22</f>
        <v>30</v>
      </c>
      <c r="F34" s="12">
        <f>'2. Розрахунки з бюджетом'!F22</f>
        <v>79.599999999999994</v>
      </c>
      <c r="G34" s="12">
        <f>'2. Розрахунки з бюджетом'!G22</f>
        <v>19.899999999999999</v>
      </c>
      <c r="H34" s="12">
        <f>'2. Розрахунки з бюджетом'!H22</f>
        <v>19.899999999999999</v>
      </c>
      <c r="I34" s="12">
        <f>'2. Розрахунки з бюджетом'!I22</f>
        <v>19.899999999999999</v>
      </c>
      <c r="J34" s="12">
        <f>'2. Розрахунки з бюджетом'!J22</f>
        <v>19.899999999999999</v>
      </c>
    </row>
    <row r="35" spans="1:10" ht="39.75" customHeight="1">
      <c r="A35" s="32" t="s">
        <v>233</v>
      </c>
      <c r="B35" s="6">
        <f>'2. Розрахунки з бюджетом'!B23</f>
        <v>2130</v>
      </c>
      <c r="C35" s="12">
        <f>'2. Розрахунки з бюджетом'!C23</f>
        <v>0</v>
      </c>
      <c r="D35" s="12">
        <f>'2. Розрахунки з бюджетом'!D23</f>
        <v>0</v>
      </c>
      <c r="E35" s="12">
        <f>'2. Розрахунки з бюджетом'!E23</f>
        <v>0</v>
      </c>
      <c r="F35" s="12">
        <f>'2. Розрахунки з бюджетом'!F23</f>
        <v>0</v>
      </c>
      <c r="G35" s="12">
        <f>'2. Розрахунки з бюджетом'!G23</f>
        <v>0</v>
      </c>
      <c r="H35" s="12">
        <f>'2. Розрахунки з бюджетом'!H23</f>
        <v>0</v>
      </c>
      <c r="I35" s="12">
        <f>'2. Розрахунки з бюджетом'!I23</f>
        <v>0</v>
      </c>
      <c r="J35" s="12">
        <f>'2. Розрахунки з бюджетом'!J23</f>
        <v>0</v>
      </c>
    </row>
    <row r="36" spans="1:10" ht="42.75" customHeight="1">
      <c r="A36" s="55" t="s">
        <v>188</v>
      </c>
      <c r="B36" s="6">
        <f>'2. Розрахунки з бюджетом'!B24</f>
        <v>2140</v>
      </c>
      <c r="C36" s="12">
        <f>'2. Розрахунки з бюджетом'!C24</f>
        <v>2666.3</v>
      </c>
      <c r="D36" s="12">
        <f>'2. Розрахунки з бюджетом'!D24</f>
        <v>5497.7999999999993</v>
      </c>
      <c r="E36" s="12">
        <f>'2. Розрахунки з бюджетом'!E24</f>
        <v>4721.7</v>
      </c>
      <c r="F36" s="12">
        <f>'2. Розрахунки з бюджетом'!F24</f>
        <v>5497.7999999999993</v>
      </c>
      <c r="G36" s="12">
        <f>'2. Розрахунки з бюджетом'!G24</f>
        <v>1208.6999999999998</v>
      </c>
      <c r="H36" s="12">
        <f>'2. Розрахунки з бюджетом'!H24</f>
        <v>1429.6999999999998</v>
      </c>
      <c r="I36" s="12">
        <f>'2. Розрахунки з бюджетом'!I24</f>
        <v>1429.6999999999998</v>
      </c>
      <c r="J36" s="12">
        <f>'2. Розрахунки з бюджетом'!J24</f>
        <v>1429.6999999999998</v>
      </c>
    </row>
    <row r="37" spans="1:10" ht="39" customHeight="1">
      <c r="A37" s="55" t="s">
        <v>74</v>
      </c>
      <c r="B37" s="6">
        <f>'2. Розрахунки з бюджетом'!B34</f>
        <v>2150</v>
      </c>
      <c r="C37" s="12">
        <f>'2. Розрахунки з бюджетом'!C34</f>
        <v>2584.1999999999998</v>
      </c>
      <c r="D37" s="12">
        <f>'2. Розрахунки з бюджетом'!D34</f>
        <v>4959.7</v>
      </c>
      <c r="E37" s="12">
        <f>'2. Розрахунки з бюджетом'!E34</f>
        <v>4260.6000000000004</v>
      </c>
      <c r="F37" s="12">
        <f>'2. Розрахунки з бюджетом'!F34</f>
        <v>4661.9000000000005</v>
      </c>
      <c r="G37" s="12">
        <f>'2. Розрахунки з бюджетом'!G34</f>
        <v>1155.8</v>
      </c>
      <c r="H37" s="12">
        <f>'2. Розрахунки з бюджетом'!H34</f>
        <v>1160.5</v>
      </c>
      <c r="I37" s="12">
        <f>'2. Розрахунки з бюджетом'!I34</f>
        <v>1170.4000000000001</v>
      </c>
      <c r="J37" s="12">
        <f>'2. Розрахунки з бюджетом'!J34</f>
        <v>1175.2</v>
      </c>
    </row>
    <row r="38" spans="1:10" ht="20.100000000000001" customHeight="1">
      <c r="A38" s="54" t="s">
        <v>197</v>
      </c>
      <c r="B38" s="68">
        <f>'2. Розрахунки з бюджетом'!B35</f>
        <v>2200</v>
      </c>
      <c r="C38" s="88">
        <f>'2. Розрахунки з бюджетом'!C35</f>
        <v>5250.5</v>
      </c>
      <c r="D38" s="88">
        <f>'2. Розрахунки з бюджетом'!D35</f>
        <v>10457.5</v>
      </c>
      <c r="E38" s="88">
        <f>'2. Розрахунки з бюджетом'!E35</f>
        <v>9012.2999999999993</v>
      </c>
      <c r="F38" s="88">
        <f>'2. Розрахунки з бюджетом'!F35</f>
        <v>10239.299999999999</v>
      </c>
      <c r="G38" s="88">
        <f>'2. Розрахунки з бюджетом'!G35</f>
        <v>2384.3999999999996</v>
      </c>
      <c r="H38" s="88">
        <f>'2. Розрахунки з бюджетом'!H35</f>
        <v>2610.1</v>
      </c>
      <c r="I38" s="88">
        <f>'2. Розрахунки з бюджетом'!I35</f>
        <v>2620</v>
      </c>
      <c r="J38" s="88">
        <f>'2. Розрахунки з бюджетом'!J35</f>
        <v>2624.8</v>
      </c>
    </row>
    <row r="39" spans="1:10" ht="24.95" customHeight="1">
      <c r="A39" s="707" t="s">
        <v>126</v>
      </c>
      <c r="B39" s="707"/>
      <c r="C39" s="707"/>
      <c r="D39" s="707"/>
      <c r="E39" s="707"/>
      <c r="F39" s="707"/>
      <c r="G39" s="707"/>
      <c r="H39" s="707"/>
      <c r="I39" s="707"/>
      <c r="J39" s="707"/>
    </row>
    <row r="40" spans="1:10" ht="20.100000000000001" customHeight="1">
      <c r="A40" s="54" t="s">
        <v>120</v>
      </c>
      <c r="B40" s="68">
        <f>'3. Рух грошових коштів'!B66</f>
        <v>3600</v>
      </c>
      <c r="C40" s="88">
        <f>'3. Рух грошових коштів'!C66</f>
        <v>486.5</v>
      </c>
      <c r="D40" s="88">
        <f>'3. Рух грошових коштів'!D66</f>
        <v>0</v>
      </c>
      <c r="E40" s="88">
        <f>'3. Рух грошових коштів'!E66</f>
        <v>2159.1</v>
      </c>
      <c r="F40" s="88">
        <f>'3. Рух грошових коштів'!F66</f>
        <v>0</v>
      </c>
      <c r="G40" s="88">
        <f>'3. Рух грошових коштів'!G66</f>
        <v>0</v>
      </c>
      <c r="H40" s="88">
        <f>'3. Рух грошових коштів'!H66</f>
        <v>0</v>
      </c>
      <c r="I40" s="88">
        <f>'3. Рух грошових коштів'!I66</f>
        <v>0</v>
      </c>
      <c r="J40" s="88">
        <f>'3. Рух грошових коштів'!J66</f>
        <v>0</v>
      </c>
    </row>
    <row r="41" spans="1:10" ht="20.100000000000001" customHeight="1">
      <c r="A41" s="55" t="s">
        <v>121</v>
      </c>
      <c r="B41" s="6">
        <f>'3. Рух грошових коштів'!B21</f>
        <v>3090</v>
      </c>
      <c r="C41" s="12">
        <f>'3. Рух грошових коштів'!C21</f>
        <v>1672.6</v>
      </c>
      <c r="D41" s="12">
        <f>'3. Рух грошових коштів'!D21</f>
        <v>0</v>
      </c>
      <c r="E41" s="12">
        <f>'3. Рух грошових коштів'!E21</f>
        <v>0</v>
      </c>
      <c r="F41" s="12">
        <f>'3. Рух грошових коштів'!F21</f>
        <v>0</v>
      </c>
      <c r="G41" s="12">
        <f>'3. Рух грошових коштів'!G21</f>
        <v>0</v>
      </c>
      <c r="H41" s="12">
        <f>'3. Рух грошових коштів'!H21</f>
        <v>0</v>
      </c>
      <c r="I41" s="12">
        <f>'3. Рух грошових коштів'!I21</f>
        <v>0</v>
      </c>
      <c r="J41" s="12">
        <f>'3. Рух грошових коштів'!J21</f>
        <v>0</v>
      </c>
    </row>
    <row r="42" spans="1:10" ht="20.100000000000001" customHeight="1">
      <c r="A42" s="55" t="s">
        <v>182</v>
      </c>
      <c r="B42" s="6">
        <f>'3. Рух грошових коштів'!B38</f>
        <v>3320</v>
      </c>
      <c r="C42" s="12">
        <f>'3. Рух грошових коштів'!C38</f>
        <v>0</v>
      </c>
      <c r="D42" s="12">
        <f>'3. Рух грошових коштів'!D38</f>
        <v>0</v>
      </c>
      <c r="E42" s="12">
        <f>'3. Рух грошових коштів'!E38</f>
        <v>0</v>
      </c>
      <c r="F42" s="12">
        <f>'3. Рух грошових коштів'!F38</f>
        <v>0</v>
      </c>
      <c r="G42" s="12">
        <f>'3. Рух грошових коштів'!G38</f>
        <v>0</v>
      </c>
      <c r="H42" s="12">
        <f>'3. Рух грошових коштів'!H38</f>
        <v>0</v>
      </c>
      <c r="I42" s="12">
        <f>'3. Рух грошових коштів'!I38</f>
        <v>0</v>
      </c>
      <c r="J42" s="12">
        <f>'3. Рух грошових коштів'!J38</f>
        <v>0</v>
      </c>
    </row>
    <row r="43" spans="1:10" ht="20.100000000000001" customHeight="1">
      <c r="A43" s="55" t="s">
        <v>122</v>
      </c>
      <c r="B43" s="6">
        <f>'3. Рух грошових коштів'!B64</f>
        <v>3580</v>
      </c>
      <c r="C43" s="12">
        <f>'3. Рух грошових коштів'!C64</f>
        <v>0</v>
      </c>
      <c r="D43" s="12">
        <f>'3. Рух грошових коштів'!D64</f>
        <v>0</v>
      </c>
      <c r="E43" s="12">
        <f>'3. Рух грошових коштів'!E64</f>
        <v>0</v>
      </c>
      <c r="F43" s="12">
        <f>'3. Рух грошових коштів'!F64</f>
        <v>0</v>
      </c>
      <c r="G43" s="12">
        <f>'3. Рух грошових коштів'!G64</f>
        <v>0</v>
      </c>
      <c r="H43" s="12">
        <f>'3. Рух грошових коштів'!H64</f>
        <v>0</v>
      </c>
      <c r="I43" s="12">
        <f>'3. Рух грошових коштів'!I64</f>
        <v>0</v>
      </c>
      <c r="J43" s="12">
        <f>'3. Рух грошових коштів'!J64</f>
        <v>0</v>
      </c>
    </row>
    <row r="44" spans="1:10" ht="20.100000000000001" customHeight="1">
      <c r="A44" s="55" t="s">
        <v>140</v>
      </c>
      <c r="B44" s="6">
        <f>'3. Рух грошових коштів'!B67</f>
        <v>3610</v>
      </c>
      <c r="C44" s="12">
        <f>'3. Рух грошових коштів'!C67</f>
        <v>0</v>
      </c>
      <c r="D44" s="12">
        <f>'3. Рух грошових коштів'!D67</f>
        <v>0</v>
      </c>
      <c r="E44" s="12">
        <f>'3. Рух грошових коштів'!E67</f>
        <v>0</v>
      </c>
      <c r="F44" s="12">
        <f>'3. Рух грошових коштів'!F67</f>
        <v>0</v>
      </c>
      <c r="G44" s="12">
        <f>'3. Рух грошових коштів'!G67</f>
        <v>0</v>
      </c>
      <c r="H44" s="12">
        <f>'3. Рух грошових коштів'!H67</f>
        <v>0</v>
      </c>
      <c r="I44" s="12">
        <f>'3. Рух грошових коштів'!I67</f>
        <v>0</v>
      </c>
      <c r="J44" s="12">
        <f>'3. Рух грошових коштів'!J67</f>
        <v>0</v>
      </c>
    </row>
    <row r="45" spans="1:10" ht="20.100000000000001" customHeight="1">
      <c r="A45" s="54" t="s">
        <v>123</v>
      </c>
      <c r="B45" s="68">
        <f>'3. Рух грошових коштів'!B68</f>
        <v>3620</v>
      </c>
      <c r="C45" s="88">
        <f>'3. Рух грошових коштів'!C68</f>
        <v>2159.1</v>
      </c>
      <c r="D45" s="88">
        <f>'3. Рух грошових коштів'!D68</f>
        <v>0</v>
      </c>
      <c r="E45" s="88">
        <f>'3. Рух грошових коштів'!E68</f>
        <v>2159.1</v>
      </c>
      <c r="F45" s="88">
        <f>'3. Рух грошових коштів'!F68</f>
        <v>0</v>
      </c>
      <c r="G45" s="88">
        <f>'3. Рух грошових коштів'!G68</f>
        <v>0</v>
      </c>
      <c r="H45" s="88">
        <f>'3. Рух грошових коштів'!H68</f>
        <v>0</v>
      </c>
      <c r="I45" s="88">
        <f>'3. Рух грошових коштів'!I68</f>
        <v>0</v>
      </c>
      <c r="J45" s="88">
        <f>'3. Рух грошових коштів'!J68</f>
        <v>0</v>
      </c>
    </row>
    <row r="46" spans="1:10" ht="24.95" customHeight="1">
      <c r="A46" s="701" t="s">
        <v>173</v>
      </c>
      <c r="B46" s="702"/>
      <c r="C46" s="702"/>
      <c r="D46" s="702"/>
      <c r="E46" s="702"/>
      <c r="F46" s="702"/>
      <c r="G46" s="702"/>
      <c r="H46" s="702"/>
      <c r="I46" s="702"/>
      <c r="J46" s="703"/>
    </row>
    <row r="47" spans="1:10" ht="20.100000000000001" customHeight="1">
      <c r="A47" s="55" t="s">
        <v>172</v>
      </c>
      <c r="B47" s="6">
        <f>'4. Кап. інвестиції'!B12</f>
        <v>4000</v>
      </c>
      <c r="C47" s="12">
        <f>'4. Кап. інвестиції'!C12</f>
        <v>659</v>
      </c>
      <c r="D47" s="12">
        <f>'4. Кап. інвестиції'!D12</f>
        <v>5352</v>
      </c>
      <c r="E47" s="12">
        <f>'4. Кап. інвестиції'!E12</f>
        <v>1918.3</v>
      </c>
      <c r="F47" s="12">
        <f>'4. Кап. інвестиції'!F12</f>
        <v>5710</v>
      </c>
      <c r="G47" s="12">
        <f>'4. Кап. інвестиції'!G12</f>
        <v>4210</v>
      </c>
      <c r="H47" s="12">
        <f>'4. Кап. інвестиції'!H12</f>
        <v>500</v>
      </c>
      <c r="I47" s="12">
        <f>'4. Кап. інвестиції'!I12</f>
        <v>500</v>
      </c>
      <c r="J47" s="12">
        <f>'4. Кап. інвестиції'!J12</f>
        <v>500</v>
      </c>
    </row>
    <row r="48" spans="1:10" s="5" customFormat="1" ht="24.95" customHeight="1">
      <c r="A48" s="708"/>
      <c r="B48" s="708"/>
      <c r="C48" s="708"/>
      <c r="D48" s="708"/>
      <c r="E48" s="708"/>
      <c r="F48" s="708"/>
      <c r="G48" s="708"/>
      <c r="H48" s="708"/>
      <c r="I48" s="708"/>
      <c r="J48" s="708"/>
    </row>
    <row r="49" spans="1:10" s="5" customFormat="1" ht="24.95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</row>
    <row r="50" spans="1:10" ht="24.95" customHeight="1">
      <c r="A50" s="104"/>
      <c r="C50" s="74"/>
      <c r="D50" s="74"/>
      <c r="E50" s="74"/>
      <c r="F50" s="74"/>
      <c r="G50" s="74"/>
      <c r="H50" s="74"/>
      <c r="I50" s="694" t="s">
        <v>332</v>
      </c>
      <c r="J50" s="694"/>
    </row>
    <row r="51" spans="1:10" ht="19.5" customHeight="1">
      <c r="A51" s="43" t="s">
        <v>359</v>
      </c>
      <c r="B51" s="1"/>
      <c r="C51" s="698" t="s">
        <v>92</v>
      </c>
      <c r="D51" s="698"/>
      <c r="E51" s="698"/>
      <c r="F51" s="699"/>
      <c r="G51" s="14"/>
      <c r="H51" s="700" t="s">
        <v>338</v>
      </c>
      <c r="I51" s="700"/>
      <c r="J51" s="700"/>
    </row>
    <row r="52" spans="1:10" s="2" customFormat="1" ht="21" customHeight="1">
      <c r="A52" s="21" t="s">
        <v>68</v>
      </c>
      <c r="B52" s="3"/>
      <c r="C52" s="695" t="s">
        <v>69</v>
      </c>
      <c r="D52" s="695"/>
      <c r="E52" s="695"/>
      <c r="F52" s="695"/>
      <c r="G52" s="50"/>
      <c r="H52" s="695" t="s">
        <v>88</v>
      </c>
      <c r="I52" s="695"/>
      <c r="J52" s="695"/>
    </row>
    <row r="54" spans="1:10">
      <c r="A54" s="36"/>
    </row>
    <row r="55" spans="1:10">
      <c r="A55" s="36"/>
    </row>
    <row r="56" spans="1:10">
      <c r="A56" s="36"/>
    </row>
    <row r="57" spans="1:10" s="21" customFormat="1">
      <c r="A57" s="36"/>
      <c r="F57" s="3"/>
      <c r="G57" s="3"/>
      <c r="H57" s="3"/>
      <c r="I57" s="3"/>
      <c r="J57" s="3"/>
    </row>
    <row r="58" spans="1:10" s="21" customFormat="1">
      <c r="A58" s="36"/>
      <c r="F58" s="3"/>
      <c r="G58" s="3"/>
      <c r="H58" s="3"/>
      <c r="I58" s="3"/>
      <c r="J58" s="3"/>
    </row>
    <row r="59" spans="1:10" s="21" customFormat="1">
      <c r="A59" s="36"/>
      <c r="F59" s="3"/>
      <c r="G59" s="3"/>
      <c r="H59" s="3"/>
      <c r="I59" s="3"/>
      <c r="J59" s="3"/>
    </row>
    <row r="60" spans="1:10" s="21" customFormat="1">
      <c r="A60" s="36"/>
      <c r="F60" s="3"/>
      <c r="G60" s="3"/>
      <c r="H60" s="3"/>
      <c r="I60" s="3"/>
      <c r="J60" s="3"/>
    </row>
    <row r="61" spans="1:10" s="21" customFormat="1">
      <c r="A61" s="36"/>
      <c r="F61" s="3"/>
      <c r="G61" s="3"/>
      <c r="H61" s="3"/>
      <c r="I61" s="3"/>
      <c r="J61" s="3"/>
    </row>
    <row r="62" spans="1:10" s="21" customFormat="1">
      <c r="A62" s="36"/>
      <c r="F62" s="3"/>
      <c r="G62" s="3"/>
      <c r="H62" s="3"/>
      <c r="I62" s="3"/>
      <c r="J62" s="3"/>
    </row>
    <row r="63" spans="1:10" s="21" customFormat="1">
      <c r="A63" s="36"/>
      <c r="F63" s="3"/>
      <c r="G63" s="3"/>
      <c r="H63" s="3"/>
      <c r="I63" s="3"/>
      <c r="J63" s="3"/>
    </row>
    <row r="64" spans="1:10" s="21" customFormat="1">
      <c r="A64" s="36"/>
      <c r="F64" s="3"/>
      <c r="G64" s="3"/>
      <c r="H64" s="3"/>
      <c r="I64" s="3"/>
      <c r="J64" s="3"/>
    </row>
    <row r="65" spans="1:10" s="21" customFormat="1">
      <c r="A65" s="36"/>
      <c r="F65" s="3"/>
      <c r="G65" s="3"/>
      <c r="H65" s="3"/>
      <c r="I65" s="3"/>
      <c r="J65" s="3"/>
    </row>
    <row r="66" spans="1:10" s="21" customFormat="1">
      <c r="A66" s="36"/>
      <c r="F66" s="3"/>
      <c r="G66" s="3"/>
      <c r="H66" s="3"/>
      <c r="I66" s="3"/>
      <c r="J66" s="3"/>
    </row>
    <row r="67" spans="1:10" s="21" customFormat="1">
      <c r="A67" s="36"/>
      <c r="F67" s="3"/>
      <c r="G67" s="3"/>
      <c r="H67" s="3"/>
      <c r="I67" s="3"/>
      <c r="J67" s="3"/>
    </row>
    <row r="68" spans="1:10" s="21" customFormat="1">
      <c r="A68" s="36"/>
      <c r="F68" s="3"/>
      <c r="G68" s="3"/>
      <c r="H68" s="3"/>
      <c r="I68" s="3"/>
      <c r="J68" s="3"/>
    </row>
    <row r="69" spans="1:10" s="21" customFormat="1">
      <c r="A69" s="36"/>
      <c r="F69" s="3"/>
      <c r="G69" s="3"/>
      <c r="H69" s="3"/>
      <c r="I69" s="3"/>
      <c r="J69" s="3"/>
    </row>
    <row r="70" spans="1:10" s="21" customFormat="1">
      <c r="A70" s="36"/>
      <c r="F70" s="3"/>
      <c r="G70" s="3"/>
      <c r="H70" s="3"/>
      <c r="I70" s="3"/>
      <c r="J70" s="3"/>
    </row>
    <row r="71" spans="1:10" s="21" customFormat="1">
      <c r="A71" s="36"/>
      <c r="F71" s="3"/>
      <c r="G71" s="3"/>
      <c r="H71" s="3"/>
      <c r="I71" s="3"/>
      <c r="J71" s="3"/>
    </row>
    <row r="72" spans="1:10" s="21" customFormat="1">
      <c r="A72" s="36"/>
      <c r="F72" s="3"/>
      <c r="G72" s="3"/>
      <c r="H72" s="3"/>
      <c r="I72" s="3"/>
      <c r="J72" s="3"/>
    </row>
    <row r="73" spans="1:10" s="21" customFormat="1">
      <c r="A73" s="36"/>
      <c r="F73" s="3"/>
      <c r="G73" s="3"/>
      <c r="H73" s="3"/>
      <c r="I73" s="3"/>
      <c r="J73" s="3"/>
    </row>
    <row r="74" spans="1:10" s="21" customFormat="1">
      <c r="A74" s="36"/>
      <c r="F74" s="3"/>
      <c r="G74" s="3"/>
      <c r="H74" s="3"/>
      <c r="I74" s="3"/>
      <c r="J74" s="3"/>
    </row>
    <row r="75" spans="1:10" s="21" customFormat="1">
      <c r="A75" s="36"/>
      <c r="F75" s="3"/>
      <c r="G75" s="3"/>
      <c r="H75" s="3"/>
      <c r="I75" s="3"/>
      <c r="J75" s="3"/>
    </row>
    <row r="76" spans="1:10" s="21" customFormat="1">
      <c r="A76" s="36"/>
      <c r="F76" s="3"/>
      <c r="G76" s="3"/>
      <c r="H76" s="3"/>
      <c r="I76" s="3"/>
      <c r="J76" s="3"/>
    </row>
    <row r="77" spans="1:10" s="21" customFormat="1">
      <c r="A77" s="36"/>
      <c r="F77" s="3"/>
      <c r="G77" s="3"/>
      <c r="H77" s="3"/>
      <c r="I77" s="3"/>
      <c r="J77" s="3"/>
    </row>
    <row r="78" spans="1:10" s="21" customFormat="1">
      <c r="A78" s="36"/>
      <c r="F78" s="3"/>
      <c r="G78" s="3"/>
      <c r="H78" s="3"/>
      <c r="I78" s="3"/>
      <c r="J78" s="3"/>
    </row>
    <row r="79" spans="1:10" s="21" customFormat="1">
      <c r="A79" s="36"/>
      <c r="F79" s="3"/>
      <c r="G79" s="3"/>
      <c r="H79" s="3"/>
      <c r="I79" s="3"/>
      <c r="J79" s="3"/>
    </row>
    <row r="80" spans="1:10" s="21" customFormat="1">
      <c r="A80" s="36"/>
      <c r="F80" s="3"/>
      <c r="G80" s="3"/>
      <c r="H80" s="3"/>
      <c r="I80" s="3"/>
      <c r="J80" s="3"/>
    </row>
    <row r="81" spans="1:10" s="21" customFormat="1">
      <c r="A81" s="36"/>
      <c r="F81" s="3"/>
      <c r="G81" s="3"/>
      <c r="H81" s="3"/>
      <c r="I81" s="3"/>
      <c r="J81" s="3"/>
    </row>
    <row r="82" spans="1:10" s="21" customFormat="1">
      <c r="A82" s="36"/>
      <c r="F82" s="3"/>
      <c r="G82" s="3"/>
      <c r="H82" s="3"/>
      <c r="I82" s="3"/>
      <c r="J82" s="3"/>
    </row>
    <row r="83" spans="1:10" s="21" customFormat="1">
      <c r="A83" s="36"/>
      <c r="F83" s="3"/>
      <c r="G83" s="3"/>
      <c r="H83" s="3"/>
      <c r="I83" s="3"/>
      <c r="J83" s="3"/>
    </row>
    <row r="84" spans="1:10" s="21" customFormat="1">
      <c r="A84" s="36"/>
      <c r="F84" s="3"/>
      <c r="G84" s="3"/>
      <c r="H84" s="3"/>
      <c r="I84" s="3"/>
      <c r="J84" s="3"/>
    </row>
    <row r="85" spans="1:10" s="21" customFormat="1">
      <c r="A85" s="36"/>
      <c r="F85" s="3"/>
      <c r="G85" s="3"/>
      <c r="H85" s="3"/>
      <c r="I85" s="3"/>
      <c r="J85" s="3"/>
    </row>
    <row r="86" spans="1:10" s="21" customFormat="1">
      <c r="A86" s="36"/>
      <c r="F86" s="3"/>
      <c r="G86" s="3"/>
      <c r="H86" s="3"/>
      <c r="I86" s="3"/>
      <c r="J86" s="3"/>
    </row>
    <row r="87" spans="1:10" s="21" customFormat="1">
      <c r="A87" s="36"/>
      <c r="F87" s="3"/>
      <c r="G87" s="3"/>
      <c r="H87" s="3"/>
      <c r="I87" s="3"/>
      <c r="J87" s="3"/>
    </row>
    <row r="88" spans="1:10" s="21" customFormat="1">
      <c r="A88" s="36"/>
      <c r="F88" s="3"/>
      <c r="G88" s="3"/>
      <c r="H88" s="3"/>
      <c r="I88" s="3"/>
      <c r="J88" s="3"/>
    </row>
    <row r="89" spans="1:10" s="21" customFormat="1">
      <c r="A89" s="36"/>
      <c r="F89" s="3"/>
      <c r="G89" s="3"/>
      <c r="H89" s="3"/>
      <c r="I89" s="3"/>
      <c r="J89" s="3"/>
    </row>
    <row r="90" spans="1:10" s="21" customFormat="1">
      <c r="A90" s="36"/>
      <c r="F90" s="3"/>
      <c r="G90" s="3"/>
      <c r="H90" s="3"/>
      <c r="I90" s="3"/>
      <c r="J90" s="3"/>
    </row>
    <row r="91" spans="1:10" s="21" customFormat="1">
      <c r="A91" s="36"/>
      <c r="F91" s="3"/>
      <c r="G91" s="3"/>
      <c r="H91" s="3"/>
      <c r="I91" s="3"/>
      <c r="J91" s="3"/>
    </row>
    <row r="92" spans="1:10" s="21" customFormat="1">
      <c r="A92" s="36"/>
      <c r="F92" s="3"/>
      <c r="G92" s="3"/>
      <c r="H92" s="3"/>
      <c r="I92" s="3"/>
      <c r="J92" s="3"/>
    </row>
    <row r="93" spans="1:10" s="21" customFormat="1">
      <c r="A93" s="36"/>
      <c r="F93" s="3"/>
      <c r="G93" s="3"/>
      <c r="H93" s="3"/>
      <c r="I93" s="3"/>
      <c r="J93" s="3"/>
    </row>
    <row r="94" spans="1:10" s="21" customFormat="1">
      <c r="A94" s="36"/>
      <c r="F94" s="3"/>
      <c r="G94" s="3"/>
      <c r="H94" s="3"/>
      <c r="I94" s="3"/>
      <c r="J94" s="3"/>
    </row>
    <row r="95" spans="1:10" s="21" customFormat="1">
      <c r="A95" s="36"/>
      <c r="F95" s="3"/>
      <c r="G95" s="3"/>
      <c r="H95" s="3"/>
      <c r="I95" s="3"/>
      <c r="J95" s="3"/>
    </row>
    <row r="96" spans="1:10" s="21" customFormat="1">
      <c r="A96" s="36"/>
      <c r="F96" s="3"/>
      <c r="G96" s="3"/>
      <c r="H96" s="3"/>
      <c r="I96" s="3"/>
      <c r="J96" s="3"/>
    </row>
    <row r="97" spans="1:10" s="21" customFormat="1">
      <c r="A97" s="36"/>
      <c r="F97" s="3"/>
      <c r="G97" s="3"/>
      <c r="H97" s="3"/>
      <c r="I97" s="3"/>
      <c r="J97" s="3"/>
    </row>
    <row r="98" spans="1:10" s="21" customFormat="1">
      <c r="A98" s="36"/>
      <c r="F98" s="3"/>
      <c r="G98" s="3"/>
      <c r="H98" s="3"/>
      <c r="I98" s="3"/>
      <c r="J98" s="3"/>
    </row>
    <row r="99" spans="1:10" s="21" customFormat="1">
      <c r="A99" s="36"/>
      <c r="F99" s="3"/>
      <c r="G99" s="3"/>
      <c r="H99" s="3"/>
      <c r="I99" s="3"/>
      <c r="J99" s="3"/>
    </row>
    <row r="100" spans="1:10" s="21" customFormat="1">
      <c r="A100" s="36"/>
      <c r="F100" s="3"/>
      <c r="G100" s="3"/>
      <c r="H100" s="3"/>
      <c r="I100" s="3"/>
      <c r="J100" s="3"/>
    </row>
    <row r="101" spans="1:10" s="21" customFormat="1">
      <c r="A101" s="36"/>
      <c r="F101" s="3"/>
      <c r="G101" s="3"/>
      <c r="H101" s="3"/>
      <c r="I101" s="3"/>
      <c r="J101" s="3"/>
    </row>
    <row r="102" spans="1:10" s="21" customFormat="1">
      <c r="A102" s="36"/>
      <c r="F102" s="3"/>
      <c r="G102" s="3"/>
      <c r="H102" s="3"/>
      <c r="I102" s="3"/>
      <c r="J102" s="3"/>
    </row>
    <row r="103" spans="1:10" s="21" customFormat="1">
      <c r="A103" s="36"/>
      <c r="F103" s="3"/>
      <c r="G103" s="3"/>
      <c r="H103" s="3"/>
      <c r="I103" s="3"/>
      <c r="J103" s="3"/>
    </row>
    <row r="104" spans="1:10" s="21" customFormat="1">
      <c r="A104" s="36"/>
      <c r="F104" s="3"/>
      <c r="G104" s="3"/>
      <c r="H104" s="3"/>
      <c r="I104" s="3"/>
      <c r="J104" s="3"/>
    </row>
    <row r="105" spans="1:10" s="21" customFormat="1">
      <c r="A105" s="36"/>
      <c r="F105" s="3"/>
      <c r="G105" s="3"/>
      <c r="H105" s="3"/>
      <c r="I105" s="3"/>
      <c r="J105" s="3"/>
    </row>
    <row r="106" spans="1:10" s="21" customFormat="1">
      <c r="A106" s="36"/>
      <c r="F106" s="3"/>
      <c r="G106" s="3"/>
      <c r="H106" s="3"/>
      <c r="I106" s="3"/>
      <c r="J106" s="3"/>
    </row>
    <row r="107" spans="1:10" s="21" customFormat="1">
      <c r="A107" s="36"/>
      <c r="F107" s="3"/>
      <c r="G107" s="3"/>
      <c r="H107" s="3"/>
      <c r="I107" s="3"/>
      <c r="J107" s="3"/>
    </row>
    <row r="108" spans="1:10" s="21" customFormat="1">
      <c r="A108" s="36"/>
      <c r="F108" s="3"/>
      <c r="G108" s="3"/>
      <c r="H108" s="3"/>
      <c r="I108" s="3"/>
      <c r="J108" s="3"/>
    </row>
    <row r="109" spans="1:10" s="21" customFormat="1">
      <c r="A109" s="36"/>
      <c r="F109" s="3"/>
      <c r="G109" s="3"/>
      <c r="H109" s="3"/>
      <c r="I109" s="3"/>
      <c r="J109" s="3"/>
    </row>
    <row r="110" spans="1:10" s="21" customFormat="1">
      <c r="A110" s="36"/>
      <c r="F110" s="3"/>
      <c r="G110" s="3"/>
      <c r="H110" s="3"/>
      <c r="I110" s="3"/>
      <c r="J110" s="3"/>
    </row>
    <row r="111" spans="1:10" s="21" customFormat="1">
      <c r="A111" s="36"/>
      <c r="F111" s="3"/>
      <c r="G111" s="3"/>
      <c r="H111" s="3"/>
      <c r="I111" s="3"/>
      <c r="J111" s="3"/>
    </row>
    <row r="112" spans="1:10" s="21" customFormat="1">
      <c r="A112" s="36"/>
      <c r="F112" s="3"/>
      <c r="G112" s="3"/>
      <c r="H112" s="3"/>
      <c r="I112" s="3"/>
      <c r="J112" s="3"/>
    </row>
    <row r="113" spans="1:10" s="21" customFormat="1">
      <c r="A113" s="36"/>
      <c r="F113" s="3"/>
      <c r="G113" s="3"/>
      <c r="H113" s="3"/>
      <c r="I113" s="3"/>
      <c r="J113" s="3"/>
    </row>
    <row r="114" spans="1:10" s="21" customFormat="1">
      <c r="A114" s="36"/>
      <c r="F114" s="3"/>
      <c r="G114" s="3"/>
      <c r="H114" s="3"/>
      <c r="I114" s="3"/>
      <c r="J114" s="3"/>
    </row>
    <row r="115" spans="1:10" s="21" customFormat="1">
      <c r="A115" s="36"/>
      <c r="F115" s="3"/>
      <c r="G115" s="3"/>
      <c r="H115" s="3"/>
      <c r="I115" s="3"/>
      <c r="J115" s="3"/>
    </row>
    <row r="116" spans="1:10" s="21" customFormat="1">
      <c r="A116" s="36"/>
      <c r="F116" s="3"/>
      <c r="G116" s="3"/>
      <c r="H116" s="3"/>
      <c r="I116" s="3"/>
      <c r="J116" s="3"/>
    </row>
    <row r="117" spans="1:10" s="21" customFormat="1">
      <c r="A117" s="36"/>
      <c r="F117" s="3"/>
      <c r="G117" s="3"/>
      <c r="H117" s="3"/>
      <c r="I117" s="3"/>
      <c r="J117" s="3"/>
    </row>
    <row r="118" spans="1:10" s="21" customFormat="1">
      <c r="A118" s="36"/>
      <c r="F118" s="3"/>
      <c r="G118" s="3"/>
      <c r="H118" s="3"/>
      <c r="I118" s="3"/>
      <c r="J118" s="3"/>
    </row>
    <row r="119" spans="1:10" s="21" customFormat="1">
      <c r="A119" s="36"/>
      <c r="F119" s="3"/>
      <c r="G119" s="3"/>
      <c r="H119" s="3"/>
      <c r="I119" s="3"/>
      <c r="J119" s="3"/>
    </row>
    <row r="120" spans="1:10" s="21" customFormat="1">
      <c r="A120" s="36"/>
      <c r="F120" s="3"/>
      <c r="G120" s="3"/>
      <c r="H120" s="3"/>
      <c r="I120" s="3"/>
      <c r="J120" s="3"/>
    </row>
    <row r="121" spans="1:10" s="21" customFormat="1">
      <c r="A121" s="36"/>
      <c r="F121" s="3"/>
      <c r="G121" s="3"/>
      <c r="H121" s="3"/>
      <c r="I121" s="3"/>
      <c r="J121" s="3"/>
    </row>
    <row r="122" spans="1:10" s="21" customFormat="1">
      <c r="A122" s="36"/>
      <c r="F122" s="3"/>
      <c r="G122" s="3"/>
      <c r="H122" s="3"/>
      <c r="I122" s="3"/>
      <c r="J122" s="3"/>
    </row>
    <row r="123" spans="1:10" s="21" customFormat="1">
      <c r="A123" s="36"/>
      <c r="F123" s="3"/>
      <c r="G123" s="3"/>
      <c r="H123" s="3"/>
      <c r="I123" s="3"/>
      <c r="J123" s="3"/>
    </row>
    <row r="124" spans="1:10" s="21" customFormat="1">
      <c r="A124" s="36"/>
      <c r="F124" s="3"/>
      <c r="G124" s="3"/>
      <c r="H124" s="3"/>
      <c r="I124" s="3"/>
      <c r="J124" s="3"/>
    </row>
    <row r="125" spans="1:10" s="21" customFormat="1">
      <c r="A125" s="36"/>
      <c r="F125" s="3"/>
      <c r="G125" s="3"/>
      <c r="H125" s="3"/>
      <c r="I125" s="3"/>
      <c r="J125" s="3"/>
    </row>
    <row r="126" spans="1:10" s="21" customFormat="1">
      <c r="A126" s="36"/>
      <c r="F126" s="3"/>
      <c r="G126" s="3"/>
      <c r="H126" s="3"/>
      <c r="I126" s="3"/>
      <c r="J126" s="3"/>
    </row>
    <row r="127" spans="1:10" s="21" customFormat="1">
      <c r="A127" s="36"/>
      <c r="F127" s="3"/>
      <c r="G127" s="3"/>
      <c r="H127" s="3"/>
      <c r="I127" s="3"/>
      <c r="J127" s="3"/>
    </row>
    <row r="128" spans="1:10" s="21" customFormat="1">
      <c r="A128" s="36"/>
      <c r="F128" s="3"/>
      <c r="G128" s="3"/>
      <c r="H128" s="3"/>
      <c r="I128" s="3"/>
      <c r="J128" s="3"/>
    </row>
    <row r="129" spans="1:10" s="21" customFormat="1">
      <c r="A129" s="36"/>
      <c r="F129" s="3"/>
      <c r="G129" s="3"/>
      <c r="H129" s="3"/>
      <c r="I129" s="3"/>
      <c r="J129" s="3"/>
    </row>
    <row r="130" spans="1:10" s="21" customFormat="1">
      <c r="A130" s="36"/>
      <c r="F130" s="3"/>
      <c r="G130" s="3"/>
      <c r="H130" s="3"/>
      <c r="I130" s="3"/>
      <c r="J130" s="3"/>
    </row>
    <row r="131" spans="1:10" s="21" customFormat="1">
      <c r="A131" s="36"/>
      <c r="F131" s="3"/>
      <c r="G131" s="3"/>
      <c r="H131" s="3"/>
      <c r="I131" s="3"/>
      <c r="J131" s="3"/>
    </row>
    <row r="132" spans="1:10" s="21" customFormat="1">
      <c r="A132" s="36"/>
      <c r="F132" s="3"/>
      <c r="G132" s="3"/>
      <c r="H132" s="3"/>
      <c r="I132" s="3"/>
      <c r="J132" s="3"/>
    </row>
    <row r="133" spans="1:10" s="21" customFormat="1">
      <c r="A133" s="36"/>
      <c r="F133" s="3"/>
      <c r="G133" s="3"/>
      <c r="H133" s="3"/>
      <c r="I133" s="3"/>
      <c r="J133" s="3"/>
    </row>
    <row r="134" spans="1:10" s="21" customFormat="1">
      <c r="A134" s="36"/>
      <c r="F134" s="3"/>
      <c r="G134" s="3"/>
      <c r="H134" s="3"/>
      <c r="I134" s="3"/>
      <c r="J134" s="3"/>
    </row>
    <row r="135" spans="1:10" s="21" customFormat="1">
      <c r="A135" s="36"/>
      <c r="F135" s="3"/>
      <c r="G135" s="3"/>
      <c r="H135" s="3"/>
      <c r="I135" s="3"/>
      <c r="J135" s="3"/>
    </row>
    <row r="136" spans="1:10" s="21" customFormat="1">
      <c r="A136" s="36"/>
      <c r="F136" s="3"/>
      <c r="G136" s="3"/>
      <c r="H136" s="3"/>
      <c r="I136" s="3"/>
      <c r="J136" s="3"/>
    </row>
    <row r="137" spans="1:10" s="21" customFormat="1">
      <c r="A137" s="36"/>
      <c r="F137" s="3"/>
      <c r="G137" s="3"/>
      <c r="H137" s="3"/>
      <c r="I137" s="3"/>
      <c r="J137" s="3"/>
    </row>
    <row r="138" spans="1:10" s="21" customFormat="1">
      <c r="A138" s="36"/>
      <c r="F138" s="3"/>
      <c r="G138" s="3"/>
      <c r="H138" s="3"/>
      <c r="I138" s="3"/>
      <c r="J138" s="3"/>
    </row>
    <row r="139" spans="1:10" s="21" customFormat="1">
      <c r="A139" s="36"/>
      <c r="F139" s="3"/>
      <c r="G139" s="3"/>
      <c r="H139" s="3"/>
      <c r="I139" s="3"/>
      <c r="J139" s="3"/>
    </row>
    <row r="140" spans="1:10" s="21" customFormat="1">
      <c r="A140" s="36"/>
      <c r="F140" s="3"/>
      <c r="G140" s="3"/>
      <c r="H140" s="3"/>
      <c r="I140" s="3"/>
      <c r="J140" s="3"/>
    </row>
    <row r="141" spans="1:10" s="21" customFormat="1">
      <c r="A141" s="36"/>
      <c r="F141" s="3"/>
      <c r="G141" s="3"/>
      <c r="H141" s="3"/>
      <c r="I141" s="3"/>
      <c r="J141" s="3"/>
    </row>
    <row r="142" spans="1:10" s="21" customFormat="1">
      <c r="A142" s="36"/>
      <c r="F142" s="3"/>
      <c r="G142" s="3"/>
      <c r="H142" s="3"/>
      <c r="I142" s="3"/>
      <c r="J142" s="3"/>
    </row>
    <row r="143" spans="1:10" s="21" customFormat="1">
      <c r="A143" s="36"/>
      <c r="F143" s="3"/>
      <c r="G143" s="3"/>
      <c r="H143" s="3"/>
      <c r="I143" s="3"/>
      <c r="J143" s="3"/>
    </row>
    <row r="144" spans="1:10" s="21" customFormat="1">
      <c r="A144" s="36"/>
      <c r="F144" s="3"/>
      <c r="G144" s="3"/>
      <c r="H144" s="3"/>
      <c r="I144" s="3"/>
      <c r="J144" s="3"/>
    </row>
    <row r="145" spans="1:10" s="21" customFormat="1">
      <c r="A145" s="36"/>
      <c r="F145" s="3"/>
      <c r="G145" s="3"/>
      <c r="H145" s="3"/>
      <c r="I145" s="3"/>
      <c r="J145" s="3"/>
    </row>
    <row r="146" spans="1:10" s="21" customFormat="1">
      <c r="A146" s="36"/>
      <c r="F146" s="3"/>
      <c r="G146" s="3"/>
      <c r="H146" s="3"/>
      <c r="I146" s="3"/>
      <c r="J146" s="3"/>
    </row>
    <row r="147" spans="1:10" s="21" customFormat="1">
      <c r="A147" s="36"/>
      <c r="F147" s="3"/>
      <c r="G147" s="3"/>
      <c r="H147" s="3"/>
      <c r="I147" s="3"/>
      <c r="J147" s="3"/>
    </row>
    <row r="148" spans="1:10" s="21" customFormat="1">
      <c r="A148" s="36"/>
      <c r="F148" s="3"/>
      <c r="G148" s="3"/>
      <c r="H148" s="3"/>
      <c r="I148" s="3"/>
      <c r="J148" s="3"/>
    </row>
    <row r="149" spans="1:10" s="21" customFormat="1">
      <c r="A149" s="36"/>
      <c r="F149" s="3"/>
      <c r="G149" s="3"/>
      <c r="H149" s="3"/>
      <c r="I149" s="3"/>
      <c r="J149" s="3"/>
    </row>
    <row r="150" spans="1:10" s="21" customFormat="1">
      <c r="A150" s="36"/>
      <c r="F150" s="3"/>
      <c r="G150" s="3"/>
      <c r="H150" s="3"/>
      <c r="I150" s="3"/>
      <c r="J150" s="3"/>
    </row>
    <row r="151" spans="1:10" s="21" customFormat="1">
      <c r="A151" s="36"/>
      <c r="F151" s="3"/>
      <c r="G151" s="3"/>
      <c r="H151" s="3"/>
      <c r="I151" s="3"/>
      <c r="J151" s="3"/>
    </row>
    <row r="152" spans="1:10" s="21" customFormat="1">
      <c r="A152" s="36"/>
      <c r="F152" s="3"/>
      <c r="G152" s="3"/>
      <c r="H152" s="3"/>
      <c r="I152" s="3"/>
      <c r="J152" s="3"/>
    </row>
    <row r="153" spans="1:10" s="21" customFormat="1">
      <c r="A153" s="36"/>
      <c r="F153" s="3"/>
      <c r="G153" s="3"/>
      <c r="H153" s="3"/>
      <c r="I153" s="3"/>
      <c r="J153" s="3"/>
    </row>
    <row r="154" spans="1:10" s="21" customFormat="1">
      <c r="A154" s="36"/>
      <c r="F154" s="3"/>
      <c r="G154" s="3"/>
      <c r="H154" s="3"/>
      <c r="I154" s="3"/>
      <c r="J154" s="3"/>
    </row>
    <row r="155" spans="1:10" s="21" customFormat="1">
      <c r="A155" s="36"/>
      <c r="F155" s="3"/>
      <c r="G155" s="3"/>
      <c r="H155" s="3"/>
      <c r="I155" s="3"/>
      <c r="J155" s="3"/>
    </row>
    <row r="156" spans="1:10" s="21" customFormat="1">
      <c r="A156" s="36"/>
      <c r="F156" s="3"/>
      <c r="G156" s="3"/>
      <c r="H156" s="3"/>
      <c r="I156" s="3"/>
      <c r="J156" s="3"/>
    </row>
    <row r="157" spans="1:10" s="21" customFormat="1">
      <c r="A157" s="36"/>
      <c r="F157" s="3"/>
      <c r="G157" s="3"/>
      <c r="H157" s="3"/>
      <c r="I157" s="3"/>
      <c r="J157" s="3"/>
    </row>
    <row r="158" spans="1:10" s="21" customFormat="1">
      <c r="A158" s="36"/>
      <c r="F158" s="3"/>
      <c r="G158" s="3"/>
      <c r="H158" s="3"/>
      <c r="I158" s="3"/>
      <c r="J158" s="3"/>
    </row>
    <row r="159" spans="1:10" s="21" customFormat="1">
      <c r="A159" s="36"/>
      <c r="F159" s="3"/>
      <c r="G159" s="3"/>
      <c r="H159" s="3"/>
      <c r="I159" s="3"/>
      <c r="J159" s="3"/>
    </row>
    <row r="160" spans="1:10" s="21" customFormat="1">
      <c r="A160" s="36"/>
      <c r="F160" s="3"/>
      <c r="G160" s="3"/>
      <c r="H160" s="3"/>
      <c r="I160" s="3"/>
      <c r="J160" s="3"/>
    </row>
    <row r="161" spans="1:10" s="21" customFormat="1">
      <c r="A161" s="36"/>
      <c r="F161" s="3"/>
      <c r="G161" s="3"/>
      <c r="H161" s="3"/>
      <c r="I161" s="3"/>
      <c r="J161" s="3"/>
    </row>
    <row r="162" spans="1:10" s="21" customFormat="1">
      <c r="A162" s="36"/>
      <c r="F162" s="3"/>
      <c r="G162" s="3"/>
      <c r="H162" s="3"/>
      <c r="I162" s="3"/>
      <c r="J162" s="3"/>
    </row>
    <row r="163" spans="1:10" s="21" customFormat="1">
      <c r="A163" s="36"/>
      <c r="F163" s="3"/>
      <c r="G163" s="3"/>
      <c r="H163" s="3"/>
      <c r="I163" s="3"/>
      <c r="J163" s="3"/>
    </row>
    <row r="164" spans="1:10" s="21" customFormat="1">
      <c r="A164" s="36"/>
      <c r="F164" s="3"/>
      <c r="G164" s="3"/>
      <c r="H164" s="3"/>
      <c r="I164" s="3"/>
      <c r="J164" s="3"/>
    </row>
    <row r="165" spans="1:10" s="21" customFormat="1">
      <c r="A165" s="36"/>
      <c r="F165" s="3"/>
      <c r="G165" s="3"/>
      <c r="H165" s="3"/>
      <c r="I165" s="3"/>
      <c r="J165" s="3"/>
    </row>
    <row r="166" spans="1:10" s="21" customFormat="1">
      <c r="A166" s="36"/>
      <c r="F166" s="3"/>
      <c r="G166" s="3"/>
      <c r="H166" s="3"/>
      <c r="I166" s="3"/>
      <c r="J166" s="3"/>
    </row>
    <row r="167" spans="1:10" s="21" customFormat="1">
      <c r="A167" s="36"/>
      <c r="F167" s="3"/>
      <c r="G167" s="3"/>
      <c r="H167" s="3"/>
      <c r="I167" s="3"/>
      <c r="J167" s="3"/>
    </row>
    <row r="168" spans="1:10" s="21" customFormat="1">
      <c r="A168" s="36"/>
      <c r="F168" s="3"/>
      <c r="G168" s="3"/>
      <c r="H168" s="3"/>
      <c r="I168" s="3"/>
      <c r="J168" s="3"/>
    </row>
    <row r="169" spans="1:10" s="21" customFormat="1">
      <c r="A169" s="36"/>
      <c r="F169" s="3"/>
      <c r="G169" s="3"/>
      <c r="H169" s="3"/>
      <c r="I169" s="3"/>
      <c r="J169" s="3"/>
    </row>
    <row r="170" spans="1:10" s="21" customFormat="1">
      <c r="A170" s="36"/>
      <c r="F170" s="3"/>
      <c r="G170" s="3"/>
      <c r="H170" s="3"/>
      <c r="I170" s="3"/>
      <c r="J170" s="3"/>
    </row>
    <row r="171" spans="1:10" s="21" customFormat="1">
      <c r="A171" s="36"/>
      <c r="F171" s="3"/>
      <c r="G171" s="3"/>
      <c r="H171" s="3"/>
      <c r="I171" s="3"/>
      <c r="J171" s="3"/>
    </row>
    <row r="172" spans="1:10" s="21" customFormat="1">
      <c r="A172" s="36"/>
      <c r="F172" s="3"/>
      <c r="G172" s="3"/>
      <c r="H172" s="3"/>
      <c r="I172" s="3"/>
      <c r="J172" s="3"/>
    </row>
    <row r="173" spans="1:10" s="21" customFormat="1">
      <c r="A173" s="36"/>
      <c r="F173" s="3"/>
      <c r="G173" s="3"/>
      <c r="H173" s="3"/>
      <c r="I173" s="3"/>
      <c r="J173" s="3"/>
    </row>
    <row r="174" spans="1:10" s="21" customFormat="1">
      <c r="A174" s="36"/>
      <c r="F174" s="3"/>
      <c r="G174" s="3"/>
      <c r="H174" s="3"/>
      <c r="I174" s="3"/>
      <c r="J174" s="3"/>
    </row>
    <row r="175" spans="1:10" s="21" customFormat="1">
      <c r="A175" s="36"/>
      <c r="F175" s="3"/>
      <c r="G175" s="3"/>
      <c r="H175" s="3"/>
      <c r="I175" s="3"/>
      <c r="J175" s="3"/>
    </row>
    <row r="176" spans="1:10" s="21" customFormat="1">
      <c r="A176" s="36"/>
      <c r="F176" s="3"/>
      <c r="G176" s="3"/>
      <c r="H176" s="3"/>
      <c r="I176" s="3"/>
      <c r="J176" s="3"/>
    </row>
    <row r="177" spans="1:10" s="21" customFormat="1">
      <c r="A177" s="36"/>
      <c r="F177" s="3"/>
      <c r="G177" s="3"/>
      <c r="H177" s="3"/>
      <c r="I177" s="3"/>
      <c r="J177" s="3"/>
    </row>
    <row r="178" spans="1:10" s="21" customFormat="1">
      <c r="A178" s="36"/>
      <c r="F178" s="3"/>
      <c r="G178" s="3"/>
      <c r="H178" s="3"/>
      <c r="I178" s="3"/>
      <c r="J178" s="3"/>
    </row>
    <row r="179" spans="1:10" s="21" customFormat="1">
      <c r="A179" s="36"/>
      <c r="F179" s="3"/>
      <c r="G179" s="3"/>
      <c r="H179" s="3"/>
      <c r="I179" s="3"/>
      <c r="J179" s="3"/>
    </row>
    <row r="180" spans="1:10" s="21" customFormat="1">
      <c r="A180" s="36"/>
      <c r="F180" s="3"/>
      <c r="G180" s="3"/>
      <c r="H180" s="3"/>
      <c r="I180" s="3"/>
      <c r="J180" s="3"/>
    </row>
    <row r="181" spans="1:10" s="21" customFormat="1">
      <c r="A181" s="36"/>
      <c r="F181" s="3"/>
      <c r="G181" s="3"/>
      <c r="H181" s="3"/>
      <c r="I181" s="3"/>
      <c r="J181" s="3"/>
    </row>
    <row r="182" spans="1:10" s="21" customFormat="1">
      <c r="A182" s="36"/>
      <c r="F182" s="3"/>
      <c r="G182" s="3"/>
      <c r="H182" s="3"/>
      <c r="I182" s="3"/>
      <c r="J182" s="3"/>
    </row>
    <row r="183" spans="1:10" s="21" customFormat="1">
      <c r="A183" s="36"/>
      <c r="F183" s="3"/>
      <c r="G183" s="3"/>
      <c r="H183" s="3"/>
      <c r="I183" s="3"/>
      <c r="J183" s="3"/>
    </row>
    <row r="184" spans="1:10" s="21" customFormat="1">
      <c r="A184" s="36"/>
      <c r="F184" s="3"/>
      <c r="G184" s="3"/>
      <c r="H184" s="3"/>
      <c r="I184" s="3"/>
      <c r="J184" s="3"/>
    </row>
    <row r="185" spans="1:10" s="21" customFormat="1">
      <c r="A185" s="36"/>
      <c r="F185" s="3"/>
      <c r="G185" s="3"/>
      <c r="H185" s="3"/>
      <c r="I185" s="3"/>
      <c r="J185" s="3"/>
    </row>
    <row r="186" spans="1:10" s="21" customFormat="1">
      <c r="A186" s="36"/>
      <c r="F186" s="3"/>
      <c r="G186" s="3"/>
      <c r="H186" s="3"/>
      <c r="I186" s="3"/>
      <c r="J186" s="3"/>
    </row>
    <row r="187" spans="1:10" s="21" customFormat="1">
      <c r="A187" s="36"/>
      <c r="F187" s="3"/>
      <c r="G187" s="3"/>
      <c r="H187" s="3"/>
      <c r="I187" s="3"/>
      <c r="J187" s="3"/>
    </row>
    <row r="188" spans="1:10" s="21" customFormat="1">
      <c r="A188" s="36"/>
      <c r="F188" s="3"/>
      <c r="G188" s="3"/>
      <c r="H188" s="3"/>
      <c r="I188" s="3"/>
      <c r="J188" s="3"/>
    </row>
    <row r="189" spans="1:10" s="21" customFormat="1">
      <c r="A189" s="36"/>
      <c r="F189" s="3"/>
      <c r="G189" s="3"/>
      <c r="H189" s="3"/>
      <c r="I189" s="3"/>
      <c r="J189" s="3"/>
    </row>
    <row r="190" spans="1:10" s="21" customFormat="1">
      <c r="A190" s="36"/>
      <c r="F190" s="3"/>
      <c r="G190" s="3"/>
      <c r="H190" s="3"/>
      <c r="I190" s="3"/>
      <c r="J190" s="3"/>
    </row>
    <row r="191" spans="1:10" s="21" customFormat="1">
      <c r="A191" s="36"/>
      <c r="F191" s="3"/>
      <c r="G191" s="3"/>
      <c r="H191" s="3"/>
      <c r="I191" s="3"/>
      <c r="J191" s="3"/>
    </row>
    <row r="192" spans="1:10" s="21" customFormat="1">
      <c r="A192" s="36"/>
      <c r="F192" s="3"/>
      <c r="G192" s="3"/>
      <c r="H192" s="3"/>
      <c r="I192" s="3"/>
      <c r="J192" s="3"/>
    </row>
    <row r="193" spans="1:10" s="21" customFormat="1">
      <c r="A193" s="36"/>
      <c r="F193" s="3"/>
      <c r="G193" s="3"/>
      <c r="H193" s="3"/>
      <c r="I193" s="3"/>
      <c r="J193" s="3"/>
    </row>
    <row r="194" spans="1:10" s="21" customFormat="1">
      <c r="A194" s="36"/>
      <c r="F194" s="3"/>
      <c r="G194" s="3"/>
      <c r="H194" s="3"/>
      <c r="I194" s="3"/>
      <c r="J194" s="3"/>
    </row>
    <row r="195" spans="1:10" s="21" customFormat="1">
      <c r="A195" s="36"/>
      <c r="F195" s="3"/>
      <c r="G195" s="3"/>
      <c r="H195" s="3"/>
      <c r="I195" s="3"/>
      <c r="J195" s="3"/>
    </row>
    <row r="196" spans="1:10" s="21" customFormat="1">
      <c r="A196" s="36"/>
      <c r="F196" s="3"/>
      <c r="G196" s="3"/>
      <c r="H196" s="3"/>
      <c r="I196" s="3"/>
      <c r="J196" s="3"/>
    </row>
    <row r="197" spans="1:10" s="21" customFormat="1">
      <c r="A197" s="36"/>
      <c r="F197" s="3"/>
      <c r="G197" s="3"/>
      <c r="H197" s="3"/>
      <c r="I197" s="3"/>
      <c r="J197" s="3"/>
    </row>
    <row r="198" spans="1:10" s="21" customFormat="1">
      <c r="A198" s="36"/>
      <c r="F198" s="3"/>
      <c r="G198" s="3"/>
      <c r="H198" s="3"/>
      <c r="I198" s="3"/>
      <c r="J198" s="3"/>
    </row>
    <row r="199" spans="1:10" s="21" customFormat="1">
      <c r="A199" s="36"/>
      <c r="F199" s="3"/>
      <c r="G199" s="3"/>
      <c r="H199" s="3"/>
      <c r="I199" s="3"/>
      <c r="J199" s="3"/>
    </row>
    <row r="200" spans="1:10" s="21" customFormat="1">
      <c r="A200" s="36"/>
      <c r="F200" s="3"/>
      <c r="G200" s="3"/>
      <c r="H200" s="3"/>
      <c r="I200" s="3"/>
      <c r="J200" s="3"/>
    </row>
    <row r="201" spans="1:10" s="21" customFormat="1">
      <c r="A201" s="36"/>
      <c r="F201" s="3"/>
      <c r="G201" s="3"/>
      <c r="H201" s="3"/>
      <c r="I201" s="3"/>
      <c r="J201" s="3"/>
    </row>
    <row r="202" spans="1:10" s="21" customFormat="1">
      <c r="A202" s="36"/>
      <c r="F202" s="3"/>
      <c r="G202" s="3"/>
      <c r="H202" s="3"/>
      <c r="I202" s="3"/>
      <c r="J202" s="3"/>
    </row>
    <row r="203" spans="1:10" s="21" customFormat="1">
      <c r="A203" s="36"/>
      <c r="F203" s="3"/>
      <c r="G203" s="3"/>
      <c r="H203" s="3"/>
      <c r="I203" s="3"/>
      <c r="J203" s="3"/>
    </row>
    <row r="204" spans="1:10" s="21" customFormat="1">
      <c r="A204" s="36"/>
      <c r="F204" s="3"/>
      <c r="G204" s="3"/>
      <c r="H204" s="3"/>
      <c r="I204" s="3"/>
      <c r="J204" s="3"/>
    </row>
    <row r="205" spans="1:10" s="21" customFormat="1">
      <c r="A205" s="36"/>
      <c r="F205" s="3"/>
      <c r="G205" s="3"/>
      <c r="H205" s="3"/>
      <c r="I205" s="3"/>
      <c r="J205" s="3"/>
    </row>
    <row r="206" spans="1:10" s="21" customFormat="1">
      <c r="A206" s="36"/>
      <c r="F206" s="3"/>
      <c r="G206" s="3"/>
      <c r="H206" s="3"/>
      <c r="I206" s="3"/>
      <c r="J206" s="3"/>
    </row>
    <row r="207" spans="1:10" s="21" customFormat="1">
      <c r="A207" s="36"/>
      <c r="F207" s="3"/>
      <c r="G207" s="3"/>
      <c r="H207" s="3"/>
      <c r="I207" s="3"/>
      <c r="J207" s="3"/>
    </row>
    <row r="208" spans="1:10" s="21" customFormat="1">
      <c r="A208" s="36"/>
      <c r="F208" s="3"/>
      <c r="G208" s="3"/>
      <c r="H208" s="3"/>
      <c r="I208" s="3"/>
      <c r="J208" s="3"/>
    </row>
    <row r="209" spans="1:10" s="21" customFormat="1">
      <c r="A209" s="36"/>
      <c r="F209" s="3"/>
      <c r="G209" s="3"/>
      <c r="H209" s="3"/>
      <c r="I209" s="3"/>
      <c r="J209" s="3"/>
    </row>
    <row r="210" spans="1:10" s="21" customFormat="1">
      <c r="A210" s="36"/>
      <c r="F210" s="3"/>
      <c r="G210" s="3"/>
      <c r="H210" s="3"/>
      <c r="I210" s="3"/>
      <c r="J210" s="3"/>
    </row>
    <row r="211" spans="1:10" s="21" customFormat="1">
      <c r="A211" s="36"/>
      <c r="F211" s="3"/>
      <c r="G211" s="3"/>
      <c r="H211" s="3"/>
      <c r="I211" s="3"/>
      <c r="J211" s="3"/>
    </row>
    <row r="212" spans="1:10" s="21" customFormat="1">
      <c r="A212" s="36"/>
      <c r="F212" s="3"/>
      <c r="G212" s="3"/>
      <c r="H212" s="3"/>
      <c r="I212" s="3"/>
      <c r="J212" s="3"/>
    </row>
    <row r="213" spans="1:10" s="21" customFormat="1">
      <c r="A213" s="36"/>
      <c r="F213" s="3"/>
      <c r="G213" s="3"/>
      <c r="H213" s="3"/>
      <c r="I213" s="3"/>
      <c r="J213" s="3"/>
    </row>
    <row r="214" spans="1:10" s="21" customFormat="1">
      <c r="A214" s="36"/>
      <c r="F214" s="3"/>
      <c r="G214" s="3"/>
      <c r="H214" s="3"/>
      <c r="I214" s="3"/>
      <c r="J214" s="3"/>
    </row>
    <row r="215" spans="1:10" s="21" customFormat="1">
      <c r="A215" s="36"/>
      <c r="F215" s="3"/>
      <c r="G215" s="3"/>
      <c r="H215" s="3"/>
      <c r="I215" s="3"/>
      <c r="J215" s="3"/>
    </row>
    <row r="216" spans="1:10" s="21" customFormat="1">
      <c r="A216" s="36"/>
      <c r="F216" s="3"/>
      <c r="G216" s="3"/>
      <c r="H216" s="3"/>
      <c r="I216" s="3"/>
      <c r="J216" s="3"/>
    </row>
    <row r="217" spans="1:10" s="21" customFormat="1">
      <c r="A217" s="36"/>
      <c r="F217" s="3"/>
      <c r="G217" s="3"/>
      <c r="H217" s="3"/>
      <c r="I217" s="3"/>
      <c r="J217" s="3"/>
    </row>
    <row r="218" spans="1:10" s="21" customFormat="1">
      <c r="A218" s="36"/>
      <c r="F218" s="3"/>
      <c r="G218" s="3"/>
      <c r="H218" s="3"/>
      <c r="I218" s="3"/>
      <c r="J218" s="3"/>
    </row>
    <row r="219" spans="1:10" s="21" customFormat="1">
      <c r="A219" s="36"/>
      <c r="F219" s="3"/>
      <c r="G219" s="3"/>
      <c r="H219" s="3"/>
      <c r="I219" s="3"/>
      <c r="J219" s="3"/>
    </row>
    <row r="220" spans="1:10" s="21" customFormat="1">
      <c r="A220" s="36"/>
      <c r="F220" s="3"/>
      <c r="G220" s="3"/>
      <c r="H220" s="3"/>
      <c r="I220" s="3"/>
      <c r="J220" s="3"/>
    </row>
    <row r="221" spans="1:10" s="21" customFormat="1">
      <c r="A221" s="36"/>
      <c r="F221" s="3"/>
      <c r="G221" s="3"/>
      <c r="H221" s="3"/>
      <c r="I221" s="3"/>
      <c r="J221" s="3"/>
    </row>
  </sheetData>
  <mergeCells count="21">
    <mergeCell ref="C52:F52"/>
    <mergeCell ref="H52:J52"/>
    <mergeCell ref="A12:A13"/>
    <mergeCell ref="B12:B13"/>
    <mergeCell ref="F12:F13"/>
    <mergeCell ref="G12:J12"/>
    <mergeCell ref="C51:F51"/>
    <mergeCell ref="H51:J51"/>
    <mergeCell ref="A46:J46"/>
    <mergeCell ref="A15:J15"/>
    <mergeCell ref="C12:C13"/>
    <mergeCell ref="A39:J39"/>
    <mergeCell ref="A31:J31"/>
    <mergeCell ref="A48:J48"/>
    <mergeCell ref="E12:E13"/>
    <mergeCell ref="D12:D13"/>
    <mergeCell ref="A8:J8"/>
    <mergeCell ref="A7:J7"/>
    <mergeCell ref="A10:J10"/>
    <mergeCell ref="A6:J6"/>
    <mergeCell ref="I50:J50"/>
  </mergeCells>
  <phoneticPr fontId="3" type="noConversion"/>
  <pageMargins left="0.70866141732283472" right="0.31496062992125984" top="0.35433070866141736" bottom="0.15748031496062992" header="0.31496062992125984" footer="0.31496062992125984"/>
  <pageSetup paperSize="9" scale="48" orientation="landscape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BN389"/>
  <sheetViews>
    <sheetView topLeftCell="A37" zoomScale="66" zoomScaleNormal="66" zoomScaleSheetLayoutView="55" workbookViewId="0">
      <selection activeCell="L1" sqref="L1:BH1048576"/>
    </sheetView>
  </sheetViews>
  <sheetFormatPr defaultRowHeight="18.75" outlineLevelRow="1"/>
  <cols>
    <col min="1" max="1" width="78.42578125" style="3" customWidth="1"/>
    <col min="2" max="2" width="13.28515625" style="21" customWidth="1"/>
    <col min="3" max="6" width="16.28515625" style="544" customWidth="1"/>
    <col min="7" max="7" width="13.5703125" style="544" customWidth="1"/>
    <col min="8" max="8" width="13.85546875" style="544" customWidth="1"/>
    <col min="9" max="9" width="15.42578125" style="544" customWidth="1"/>
    <col min="10" max="10" width="16.140625" style="544" customWidth="1"/>
    <col min="11" max="11" width="16.140625" style="592" customWidth="1"/>
    <col min="12" max="12" width="10.5703125" style="3" hidden="1" customWidth="1"/>
    <col min="13" max="13" width="12.85546875" style="3" hidden="1" customWidth="1"/>
    <col min="14" max="14" width="12.7109375" style="400" hidden="1" customWidth="1"/>
    <col min="15" max="15" width="5.28515625" style="114" hidden="1" customWidth="1"/>
    <col min="16" max="16" width="11.140625" style="400" hidden="1" customWidth="1"/>
    <col min="17" max="17" width="6.140625" style="400" hidden="1" customWidth="1"/>
    <col min="18" max="18" width="10.5703125" style="400" hidden="1" customWidth="1"/>
    <col min="19" max="19" width="12.140625" style="400" hidden="1" customWidth="1"/>
    <col min="20" max="20" width="12.7109375" style="400" hidden="1" customWidth="1"/>
    <col min="21" max="21" width="8.140625" style="400" hidden="1" customWidth="1"/>
    <col min="22" max="22" width="12.28515625" style="114" hidden="1" customWidth="1"/>
    <col min="23" max="23" width="5.7109375" style="3" hidden="1" customWidth="1"/>
    <col min="24" max="24" width="10.5703125" style="3" hidden="1" customWidth="1"/>
    <col min="25" max="25" width="11" style="3" hidden="1" customWidth="1"/>
    <col min="26" max="26" width="17.140625" style="480" hidden="1" customWidth="1"/>
    <col min="27" max="27" width="10.5703125" style="498" hidden="1" customWidth="1"/>
    <col min="28" max="28" width="11.140625" style="16" hidden="1" customWidth="1"/>
    <col min="29" max="29" width="11.7109375" style="523" hidden="1" customWidth="1"/>
    <col min="30" max="31" width="11.7109375" style="114" hidden="1" customWidth="1"/>
    <col min="32" max="32" width="9.140625" style="3" hidden="1" customWidth="1"/>
    <col min="33" max="33" width="10.140625" style="3" hidden="1" customWidth="1"/>
    <col min="34" max="34" width="13.42578125" style="3" hidden="1" customWidth="1"/>
    <col min="35" max="35" width="10.5703125" style="3" hidden="1" customWidth="1"/>
    <col min="36" max="36" width="18.42578125" style="3" hidden="1" customWidth="1"/>
    <col min="37" max="37" width="17.28515625" style="3" hidden="1" customWidth="1"/>
    <col min="38" max="38" width="13.42578125" style="3" hidden="1" customWidth="1"/>
    <col min="39" max="39" width="9.140625" style="3" hidden="1" customWidth="1"/>
    <col min="40" max="40" width="9.140625" style="343" hidden="1" customWidth="1"/>
    <col min="41" max="41" width="9.140625" style="3" hidden="1" customWidth="1"/>
    <col min="42" max="42" width="13.140625" style="3" hidden="1" customWidth="1"/>
    <col min="43" max="45" width="10.140625" style="3" hidden="1" customWidth="1"/>
    <col min="46" max="46" width="9.85546875" style="3" hidden="1" customWidth="1"/>
    <col min="47" max="49" width="9.140625" style="3" hidden="1" customWidth="1"/>
    <col min="50" max="50" width="10.5703125" style="242" hidden="1" customWidth="1"/>
    <col min="51" max="57" width="9.140625" style="3" hidden="1" customWidth="1"/>
    <col min="58" max="60" width="0" style="3" hidden="1" customWidth="1"/>
    <col min="61" max="16384" width="9.140625" style="3"/>
  </cols>
  <sheetData>
    <row r="1" spans="1:50">
      <c r="P1" s="114"/>
      <c r="Q1" s="114"/>
      <c r="R1" s="114"/>
      <c r="S1" s="114"/>
      <c r="T1" s="114"/>
      <c r="U1" s="114"/>
      <c r="W1" s="114"/>
      <c r="X1" s="114"/>
      <c r="Y1" s="114"/>
      <c r="Z1" s="114"/>
      <c r="AA1" s="114"/>
      <c r="AB1" s="114"/>
      <c r="AC1" s="114"/>
      <c r="AF1" s="114"/>
      <c r="AG1" s="114"/>
    </row>
    <row r="2" spans="1:50">
      <c r="A2" s="13"/>
      <c r="B2" s="13"/>
      <c r="C2" s="543"/>
      <c r="D2" s="543"/>
      <c r="E2" s="543"/>
      <c r="F2" s="543"/>
      <c r="G2" s="543"/>
      <c r="H2" s="543"/>
      <c r="I2" s="543"/>
      <c r="J2" s="124"/>
      <c r="K2" s="593"/>
      <c r="P2" s="114"/>
      <c r="Q2" s="114"/>
      <c r="R2" s="114"/>
      <c r="S2" s="114"/>
      <c r="T2" s="114"/>
      <c r="U2" s="114"/>
      <c r="W2" s="114"/>
      <c r="X2" s="114"/>
      <c r="Y2" s="114"/>
      <c r="Z2" s="114"/>
      <c r="AA2" s="114"/>
      <c r="AB2" s="114"/>
      <c r="AC2" s="114"/>
      <c r="AF2" s="114"/>
      <c r="AG2" s="114"/>
    </row>
    <row r="3" spans="1:50">
      <c r="P3" s="114"/>
      <c r="Q3" s="114"/>
      <c r="R3" s="114"/>
      <c r="S3" s="114"/>
      <c r="T3" s="114"/>
      <c r="U3" s="114"/>
      <c r="W3" s="114"/>
      <c r="X3" s="114"/>
      <c r="Y3" s="114"/>
      <c r="Z3" s="114"/>
      <c r="AA3" s="114"/>
      <c r="AB3" s="114"/>
      <c r="AC3" s="114"/>
      <c r="AF3" s="114"/>
      <c r="AG3" s="114"/>
    </row>
    <row r="4" spans="1:50" ht="54" customHeight="1">
      <c r="A4" s="712" t="s">
        <v>198</v>
      </c>
      <c r="B4" s="712"/>
      <c r="C4" s="712"/>
      <c r="D4" s="712"/>
      <c r="E4" s="712"/>
      <c r="F4" s="712"/>
      <c r="G4" s="712"/>
      <c r="H4" s="712"/>
      <c r="I4" s="712"/>
      <c r="J4" s="712"/>
      <c r="K4" s="576"/>
      <c r="P4" s="114"/>
      <c r="Q4" s="114"/>
      <c r="R4" s="114"/>
      <c r="S4" s="114"/>
      <c r="T4" s="114"/>
      <c r="U4" s="114"/>
      <c r="W4" s="114"/>
      <c r="X4" s="114"/>
      <c r="Y4" s="114"/>
      <c r="Z4" s="114"/>
      <c r="AA4" s="114"/>
      <c r="AB4" s="114"/>
      <c r="AC4" s="114"/>
      <c r="AF4" s="114"/>
      <c r="AG4" s="114"/>
    </row>
    <row r="5" spans="1:50" s="233" customFormat="1" hidden="1">
      <c r="A5" s="251"/>
      <c r="B5" s="252"/>
      <c r="C5" s="383" t="s">
        <v>424</v>
      </c>
      <c r="D5" s="383">
        <v>2019</v>
      </c>
      <c r="E5" s="383">
        <v>2019</v>
      </c>
      <c r="F5" s="561">
        <v>2020</v>
      </c>
      <c r="G5" s="251"/>
      <c r="H5" s="251"/>
      <c r="I5" s="251"/>
      <c r="J5" s="251"/>
      <c r="K5" s="594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N5" s="343"/>
      <c r="AX5" s="265"/>
    </row>
    <row r="6" spans="1:50" ht="36" customHeight="1">
      <c r="A6" s="696" t="s">
        <v>195</v>
      </c>
      <c r="B6" s="697" t="s">
        <v>7</v>
      </c>
      <c r="C6" s="697" t="s">
        <v>17</v>
      </c>
      <c r="D6" s="697" t="s">
        <v>291</v>
      </c>
      <c r="E6" s="697" t="s">
        <v>287</v>
      </c>
      <c r="F6" s="697" t="s">
        <v>9</v>
      </c>
      <c r="G6" s="697" t="s">
        <v>288</v>
      </c>
      <c r="H6" s="697"/>
      <c r="I6" s="697"/>
      <c r="J6" s="697"/>
      <c r="K6" s="595"/>
      <c r="P6" s="114"/>
      <c r="Q6" s="114"/>
      <c r="R6" s="114"/>
      <c r="S6" s="114"/>
      <c r="T6" s="114"/>
      <c r="U6" s="114"/>
      <c r="W6" s="114"/>
      <c r="X6" s="114"/>
      <c r="Y6" s="114"/>
      <c r="Z6" s="697" t="s">
        <v>291</v>
      </c>
      <c r="AA6" s="114"/>
      <c r="AB6" s="114"/>
      <c r="AC6" s="114"/>
      <c r="AF6" s="114"/>
      <c r="AG6" s="114"/>
    </row>
    <row r="7" spans="1:50" ht="72.75" customHeight="1">
      <c r="A7" s="696"/>
      <c r="B7" s="697"/>
      <c r="C7" s="697"/>
      <c r="D7" s="711"/>
      <c r="E7" s="711"/>
      <c r="F7" s="697"/>
      <c r="G7" s="586" t="s">
        <v>154</v>
      </c>
      <c r="H7" s="586" t="s">
        <v>155</v>
      </c>
      <c r="I7" s="586" t="s">
        <v>156</v>
      </c>
      <c r="J7" s="586" t="s">
        <v>61</v>
      </c>
      <c r="K7" s="596"/>
      <c r="P7" s="114"/>
      <c r="Q7" s="114"/>
      <c r="R7" s="114"/>
      <c r="S7" s="114"/>
      <c r="T7" s="114"/>
      <c r="U7" s="114"/>
      <c r="W7" s="114"/>
      <c r="X7" s="114"/>
      <c r="Y7" s="114"/>
      <c r="Z7" s="711"/>
      <c r="AA7" s="114"/>
      <c r="AB7" s="114"/>
      <c r="AC7" s="114"/>
      <c r="AF7" s="114"/>
      <c r="AG7" s="114"/>
    </row>
    <row r="8" spans="1:50" ht="18" customHeight="1">
      <c r="A8" s="581">
        <v>1</v>
      </c>
      <c r="B8" s="582">
        <v>2</v>
      </c>
      <c r="C8" s="582">
        <v>3</v>
      </c>
      <c r="D8" s="582">
        <v>4</v>
      </c>
      <c r="E8" s="582">
        <v>5</v>
      </c>
      <c r="F8" s="582">
        <v>6</v>
      </c>
      <c r="G8" s="582">
        <v>7</v>
      </c>
      <c r="H8" s="582">
        <v>8</v>
      </c>
      <c r="I8" s="582">
        <v>9</v>
      </c>
      <c r="J8" s="582">
        <v>10</v>
      </c>
      <c r="K8" s="595"/>
      <c r="L8" s="456" t="s">
        <v>446</v>
      </c>
      <c r="M8" s="456">
        <v>2019</v>
      </c>
      <c r="N8" s="260" t="s">
        <v>472</v>
      </c>
      <c r="O8" s="469"/>
      <c r="P8" s="260" t="s">
        <v>470</v>
      </c>
      <c r="Q8" s="112"/>
      <c r="R8" s="456" t="s">
        <v>446</v>
      </c>
      <c r="S8" s="456">
        <v>2019</v>
      </c>
      <c r="T8" s="403" t="s">
        <v>473</v>
      </c>
      <c r="U8" s="469"/>
      <c r="V8" s="409" t="s">
        <v>471</v>
      </c>
      <c r="W8" s="112"/>
      <c r="X8" s="528" t="s">
        <v>446</v>
      </c>
      <c r="Y8" s="528">
        <v>2019</v>
      </c>
      <c r="Z8" s="697"/>
      <c r="AA8" s="529" t="s">
        <v>474</v>
      </c>
      <c r="AB8" s="526"/>
      <c r="AC8" s="527" t="s">
        <v>437</v>
      </c>
      <c r="AD8" s="571"/>
      <c r="AE8" s="571"/>
      <c r="AF8" s="114"/>
      <c r="AG8" s="114"/>
    </row>
    <row r="9" spans="1:50" s="5" customFormat="1" ht="20.100000000000001" customHeight="1">
      <c r="A9" s="713" t="s">
        <v>238</v>
      </c>
      <c r="B9" s="713"/>
      <c r="C9" s="713"/>
      <c r="D9" s="713"/>
      <c r="E9" s="713"/>
      <c r="F9" s="713"/>
      <c r="G9" s="713"/>
      <c r="H9" s="713"/>
      <c r="I9" s="713"/>
      <c r="J9" s="713"/>
      <c r="K9" s="597"/>
      <c r="N9" s="409"/>
      <c r="O9" s="112"/>
      <c r="P9" s="409"/>
      <c r="T9" s="403"/>
      <c r="U9" s="112"/>
      <c r="V9" s="409"/>
      <c r="Y9" s="5" t="s">
        <v>439</v>
      </c>
      <c r="Z9" s="711"/>
      <c r="AA9" s="499" t="s">
        <v>481</v>
      </c>
      <c r="AB9" s="515"/>
      <c r="AC9" s="524"/>
      <c r="AD9" s="112"/>
      <c r="AE9" s="112"/>
      <c r="AN9" s="234"/>
      <c r="AX9" s="310"/>
    </row>
    <row r="10" spans="1:50" s="5" customFormat="1" ht="36.75" customHeight="1">
      <c r="A10" s="155" t="s">
        <v>239</v>
      </c>
      <c r="B10" s="156">
        <v>1000</v>
      </c>
      <c r="C10" s="137">
        <f>C11+C12+C14+C30</f>
        <v>27035.5</v>
      </c>
      <c r="D10" s="137">
        <f>D11+D12+D14+D30</f>
        <v>38163.299999999996</v>
      </c>
      <c r="E10" s="137">
        <f t="shared" ref="E10:J10" si="0">E11+E12+E14+E30</f>
        <v>33528.199999999997</v>
      </c>
      <c r="F10" s="137">
        <f t="shared" si="0"/>
        <v>34223.5</v>
      </c>
      <c r="G10" s="137">
        <f t="shared" si="0"/>
        <v>9441.5</v>
      </c>
      <c r="H10" s="137">
        <f t="shared" si="0"/>
        <v>8170.4</v>
      </c>
      <c r="I10" s="137">
        <f t="shared" si="0"/>
        <v>8195.9</v>
      </c>
      <c r="J10" s="137">
        <f t="shared" si="0"/>
        <v>8415.7000000000007</v>
      </c>
      <c r="K10" s="246"/>
      <c r="L10" s="603">
        <v>1000</v>
      </c>
      <c r="M10" s="468">
        <f>M12+M14+M30+M24</f>
        <v>8506</v>
      </c>
      <c r="N10" s="139">
        <f>N12+N14+N30+N24</f>
        <v>7851.1</v>
      </c>
      <c r="O10" s="246"/>
      <c r="P10" s="453">
        <f t="shared" ref="P10:P41" si="1">T10-N10</f>
        <v>8695.3000000000011</v>
      </c>
      <c r="R10" s="401">
        <v>1000</v>
      </c>
      <c r="S10" s="141">
        <f>S12+S14+S30+S24</f>
        <v>17991.5</v>
      </c>
      <c r="T10" s="141">
        <f>T12+T14+T30+T24</f>
        <v>16546.400000000001</v>
      </c>
      <c r="U10" s="27"/>
      <c r="V10" s="139">
        <f>AA10-T10</f>
        <v>7778.3999999999978</v>
      </c>
      <c r="X10" s="401">
        <v>1000</v>
      </c>
      <c r="Y10" s="141">
        <f>Y12+Y14+Y30+Y24</f>
        <v>27872</v>
      </c>
      <c r="Z10" s="137">
        <f t="shared" ref="Z10" si="2">Z11+Z12+Z14+Z30</f>
        <v>38163.299999999996</v>
      </c>
      <c r="AA10" s="506">
        <f>AA12+AA14+AA30+AA24</f>
        <v>24324.799999999999</v>
      </c>
      <c r="AB10" s="506">
        <f t="shared" ref="AB10" si="3">AB12+AB14+AB30+AB24</f>
        <v>0</v>
      </c>
      <c r="AC10" s="137">
        <f t="shared" ref="AC10" si="4">AC11+AC12+AC14+AC30</f>
        <v>33921.5</v>
      </c>
      <c r="AD10" s="246"/>
      <c r="AE10" s="246"/>
      <c r="AN10" s="234"/>
      <c r="AX10" s="310"/>
    </row>
    <row r="11" spans="1:50" s="5" customFormat="1" ht="20.100000000000001" customHeight="1">
      <c r="A11" s="130" t="s">
        <v>242</v>
      </c>
      <c r="B11" s="582">
        <v>1010</v>
      </c>
      <c r="C11" s="141"/>
      <c r="D11" s="141"/>
      <c r="E11" s="141"/>
      <c r="F11" s="141">
        <f>I11+J11</f>
        <v>0</v>
      </c>
      <c r="G11" s="141"/>
      <c r="H11" s="141"/>
      <c r="I11" s="141"/>
      <c r="J11" s="141"/>
      <c r="K11" s="246"/>
      <c r="L11" s="587">
        <v>1010</v>
      </c>
      <c r="M11" s="426"/>
      <c r="N11" s="139"/>
      <c r="O11" s="246"/>
      <c r="P11" s="453">
        <f t="shared" si="1"/>
        <v>0</v>
      </c>
      <c r="R11" s="399">
        <v>1010</v>
      </c>
      <c r="S11" s="426"/>
      <c r="T11" s="141"/>
      <c r="U11" s="27"/>
      <c r="V11" s="139">
        <f t="shared" ref="V11:V74" si="5">AA11-T11</f>
        <v>0</v>
      </c>
      <c r="X11" s="399">
        <v>1010</v>
      </c>
      <c r="Y11" s="426"/>
      <c r="Z11" s="141"/>
      <c r="AA11" s="506"/>
      <c r="AB11" s="515"/>
      <c r="AC11" s="141"/>
      <c r="AD11" s="246"/>
      <c r="AE11" s="246"/>
      <c r="AG11" s="406"/>
      <c r="AH11" s="406"/>
      <c r="AI11" s="407" t="s">
        <v>465</v>
      </c>
      <c r="AJ11" s="407"/>
      <c r="AK11" s="407"/>
      <c r="AL11" s="407"/>
      <c r="AM11" s="407"/>
      <c r="AN11" s="408"/>
      <c r="AO11" s="407"/>
      <c r="AP11" s="407"/>
      <c r="AQ11" s="407" t="s">
        <v>466</v>
      </c>
      <c r="AR11" s="406"/>
      <c r="AS11" s="406"/>
      <c r="AT11" s="406"/>
      <c r="AU11" s="406"/>
      <c r="AV11" s="406"/>
      <c r="AW11" s="406"/>
      <c r="AX11" s="310"/>
    </row>
    <row r="12" spans="1:50" s="5" customFormat="1" ht="20.100000000000001" customHeight="1">
      <c r="A12" s="167" t="s">
        <v>243</v>
      </c>
      <c r="B12" s="168">
        <v>1011</v>
      </c>
      <c r="C12" s="157">
        <f>SUM(C13:C13)</f>
        <v>12198.1</v>
      </c>
      <c r="D12" s="157">
        <f>D13</f>
        <v>36228.1</v>
      </c>
      <c r="E12" s="157">
        <f t="shared" ref="E12:J12" si="6">E13</f>
        <v>28003.7</v>
      </c>
      <c r="F12" s="157">
        <f t="shared" si="6"/>
        <v>31369.8</v>
      </c>
      <c r="G12" s="157">
        <f t="shared" si="6"/>
        <v>7852.3</v>
      </c>
      <c r="H12" s="157">
        <f t="shared" si="6"/>
        <v>7822.5</v>
      </c>
      <c r="I12" s="157">
        <f t="shared" si="6"/>
        <v>7852.5</v>
      </c>
      <c r="J12" s="157">
        <f t="shared" si="6"/>
        <v>7842.5</v>
      </c>
      <c r="K12" s="246"/>
      <c r="L12" s="587">
        <v>1011</v>
      </c>
      <c r="M12" s="141">
        <f>SUM(M13:M13)</f>
        <v>7949.5</v>
      </c>
      <c r="N12" s="139">
        <f>SUM(N13:N13)</f>
        <v>6995.6</v>
      </c>
      <c r="O12" s="246"/>
      <c r="P12" s="453">
        <f t="shared" si="1"/>
        <v>6881.5</v>
      </c>
      <c r="R12" s="399">
        <v>1011</v>
      </c>
      <c r="S12" s="141">
        <f>SUM(S13:S13)</f>
        <v>17107.3</v>
      </c>
      <c r="T12" s="141">
        <f>SUM(T13:T13)</f>
        <v>13877.1</v>
      </c>
      <c r="U12" s="27"/>
      <c r="V12" s="139">
        <f t="shared" si="5"/>
        <v>7025.9999999999982</v>
      </c>
      <c r="X12" s="399">
        <v>1011</v>
      </c>
      <c r="Y12" s="141">
        <f>SUM(Y13:Y13)</f>
        <v>26667.7</v>
      </c>
      <c r="Z12" s="157">
        <f>Z13</f>
        <v>36228.1</v>
      </c>
      <c r="AA12" s="506">
        <f>SUM(AA13:AA13)</f>
        <v>20903.099999999999</v>
      </c>
      <c r="AB12" s="515"/>
      <c r="AC12" s="157">
        <f>AC13</f>
        <v>28003.7</v>
      </c>
      <c r="AD12" s="246"/>
      <c r="AE12" s="246"/>
      <c r="AG12" s="409"/>
      <c r="AH12" s="409"/>
      <c r="AI12" s="409"/>
      <c r="AJ12" s="409"/>
      <c r="AK12" s="409"/>
      <c r="AL12" s="409"/>
      <c r="AM12" s="409"/>
      <c r="AN12" s="410"/>
      <c r="AO12" s="406"/>
      <c r="AP12" s="409"/>
      <c r="AQ12" s="409"/>
      <c r="AR12" s="409"/>
      <c r="AS12" s="409"/>
      <c r="AT12" s="409"/>
      <c r="AU12" s="409"/>
      <c r="AV12" s="409"/>
      <c r="AW12" s="410"/>
      <c r="AX12" s="310"/>
    </row>
    <row r="13" spans="1:50" s="145" customFormat="1" ht="20.100000000000001" customHeight="1">
      <c r="A13" s="108" t="s">
        <v>355</v>
      </c>
      <c r="B13" s="144" t="s">
        <v>311</v>
      </c>
      <c r="C13" s="131">
        <v>12198.1</v>
      </c>
      <c r="D13" s="131">
        <v>36228.1</v>
      </c>
      <c r="E13" s="131">
        <v>28003.7</v>
      </c>
      <c r="F13" s="230">
        <f>G13+H13+I13+J13</f>
        <v>31369.8</v>
      </c>
      <c r="G13" s="591">
        <v>7852.3</v>
      </c>
      <c r="H13" s="591">
        <v>7822.5</v>
      </c>
      <c r="I13" s="591">
        <v>7852.5</v>
      </c>
      <c r="J13" s="591">
        <v>7842.5</v>
      </c>
      <c r="K13" s="615"/>
      <c r="L13" s="587" t="s">
        <v>311</v>
      </c>
      <c r="M13" s="244">
        <v>7949.5</v>
      </c>
      <c r="N13" s="139">
        <v>6995.6</v>
      </c>
      <c r="O13" s="246"/>
      <c r="P13" s="453">
        <f t="shared" si="1"/>
        <v>6881.5</v>
      </c>
      <c r="R13" s="399" t="s">
        <v>311</v>
      </c>
      <c r="S13" s="244">
        <v>17107.3</v>
      </c>
      <c r="T13" s="244">
        <v>13877.1</v>
      </c>
      <c r="U13" s="248"/>
      <c r="V13" s="139">
        <f t="shared" si="5"/>
        <v>7025.9999999999982</v>
      </c>
      <c r="X13" s="399" t="s">
        <v>311</v>
      </c>
      <c r="Y13" s="244">
        <v>26667.7</v>
      </c>
      <c r="Z13" s="131">
        <v>36228.1</v>
      </c>
      <c r="AA13" s="507">
        <v>20903.099999999999</v>
      </c>
      <c r="AB13" s="507"/>
      <c r="AC13" s="131">
        <v>28003.7</v>
      </c>
      <c r="AD13" s="237"/>
      <c r="AE13" s="237"/>
      <c r="AG13" s="411">
        <f>AH13+AI13+AJ13+AK13</f>
        <v>1102.8</v>
      </c>
      <c r="AH13" s="412">
        <v>348.3</v>
      </c>
      <c r="AI13" s="412">
        <v>119.6</v>
      </c>
      <c r="AJ13" s="412">
        <v>112</v>
      </c>
      <c r="AK13" s="412">
        <v>522.9</v>
      </c>
      <c r="AL13" s="413"/>
      <c r="AM13" s="413"/>
      <c r="AN13" s="414">
        <v>2019</v>
      </c>
      <c r="AO13" s="415"/>
      <c r="AP13" s="411">
        <f>AQ13+AR13+AS13+AT13</f>
        <v>36228.1</v>
      </c>
      <c r="AQ13" s="412">
        <v>7949.5</v>
      </c>
      <c r="AR13" s="412">
        <v>9157.7999999999993</v>
      </c>
      <c r="AS13" s="412">
        <v>9560.4</v>
      </c>
      <c r="AT13" s="412">
        <v>9560.4</v>
      </c>
      <c r="AU13" s="413"/>
      <c r="AV13" s="413"/>
      <c r="AW13" s="414">
        <v>2019</v>
      </c>
      <c r="AX13" s="458"/>
    </row>
    <row r="14" spans="1:50" s="5" customFormat="1" ht="20.100000000000001" customHeight="1">
      <c r="A14" s="167" t="s">
        <v>244</v>
      </c>
      <c r="B14" s="168">
        <v>1012</v>
      </c>
      <c r="C14" s="157">
        <f>SUM(C17:C29)+C15</f>
        <v>14155.8</v>
      </c>
      <c r="D14" s="157">
        <f>SUM(D17:D29)+D15</f>
        <v>1935.1999999999998</v>
      </c>
      <c r="E14" s="157">
        <f t="shared" ref="E14:J14" si="7">SUM(E17:E29)+E15</f>
        <v>5524.3</v>
      </c>
      <c r="F14" s="157">
        <f t="shared" si="7"/>
        <v>2853.7</v>
      </c>
      <c r="G14" s="157">
        <f>SUM(G17:G29)+G15</f>
        <v>1589.2</v>
      </c>
      <c r="H14" s="157">
        <f>SUM(H17:H29)+H15</f>
        <v>347.9</v>
      </c>
      <c r="I14" s="157">
        <f t="shared" si="7"/>
        <v>343.40000000000003</v>
      </c>
      <c r="J14" s="157">
        <f t="shared" si="7"/>
        <v>573.20000000000005</v>
      </c>
      <c r="K14" s="246"/>
      <c r="L14" s="587">
        <v>1012</v>
      </c>
      <c r="M14" s="141">
        <f>M15+M16</f>
        <v>556.5</v>
      </c>
      <c r="N14" s="139">
        <f>N15+N16</f>
        <v>245.29999999999998</v>
      </c>
      <c r="O14" s="246"/>
      <c r="P14" s="453">
        <f t="shared" si="1"/>
        <v>1022.6000000000001</v>
      </c>
      <c r="R14" s="399">
        <v>1012</v>
      </c>
      <c r="S14" s="141">
        <f>S15+S16</f>
        <v>884.2</v>
      </c>
      <c r="T14" s="141">
        <f>T15+T16</f>
        <v>1267.9000000000001</v>
      </c>
      <c r="U14" s="27"/>
      <c r="V14" s="139">
        <f t="shared" si="5"/>
        <v>56.699999999999818</v>
      </c>
      <c r="X14" s="399">
        <v>1012</v>
      </c>
      <c r="Y14" s="141">
        <f>Y15+Y16</f>
        <v>1204.3000000000002</v>
      </c>
      <c r="Z14" s="157">
        <f t="shared" ref="Z14" si="8">SUM(Z17:Z29)+Z15</f>
        <v>1935.1999999999998</v>
      </c>
      <c r="AA14" s="506">
        <f>AA15+AA16</f>
        <v>1324.6</v>
      </c>
      <c r="AB14" s="515"/>
      <c r="AC14" s="157">
        <f t="shared" ref="AC14" si="9">SUM(AC17:AC29)+AC15</f>
        <v>5917.6</v>
      </c>
      <c r="AD14" s="246"/>
      <c r="AE14" s="246"/>
      <c r="AG14" s="409"/>
      <c r="AH14" s="409"/>
      <c r="AI14" s="409"/>
      <c r="AJ14" s="409"/>
      <c r="AK14" s="409"/>
      <c r="AL14" s="409"/>
      <c r="AM14" s="409"/>
      <c r="AN14" s="410"/>
      <c r="AO14" s="406"/>
      <c r="AP14" s="409"/>
      <c r="AQ14" s="409"/>
      <c r="AR14" s="409"/>
      <c r="AS14" s="409"/>
      <c r="AT14" s="409"/>
      <c r="AU14" s="409"/>
      <c r="AV14" s="409"/>
      <c r="AW14" s="410"/>
      <c r="AX14" s="310"/>
    </row>
    <row r="15" spans="1:50" s="145" customFormat="1" ht="37.5">
      <c r="A15" s="108" t="s">
        <v>354</v>
      </c>
      <c r="B15" s="144" t="s">
        <v>312</v>
      </c>
      <c r="C15" s="131">
        <v>651</v>
      </c>
      <c r="D15" s="230">
        <v>1102.8</v>
      </c>
      <c r="E15" s="230">
        <v>624.79999999999995</v>
      </c>
      <c r="F15" s="230">
        <f>G15+H15+I15+J15</f>
        <v>616.70000000000005</v>
      </c>
      <c r="G15" s="230">
        <v>194.8</v>
      </c>
      <c r="H15" s="230">
        <v>66.900000000000006</v>
      </c>
      <c r="I15" s="230">
        <v>62.6</v>
      </c>
      <c r="J15" s="230">
        <v>292.39999999999998</v>
      </c>
      <c r="K15" s="237"/>
      <c r="L15" s="587" t="s">
        <v>312</v>
      </c>
      <c r="M15" s="244">
        <v>348.3</v>
      </c>
      <c r="N15" s="139">
        <v>214.6</v>
      </c>
      <c r="O15" s="246"/>
      <c r="P15" s="453">
        <f t="shared" si="1"/>
        <v>96.30000000000004</v>
      </c>
      <c r="R15" s="399" t="s">
        <v>312</v>
      </c>
      <c r="S15" s="244">
        <v>467.9</v>
      </c>
      <c r="T15" s="244">
        <f>308.1+2.8</f>
        <v>310.90000000000003</v>
      </c>
      <c r="U15" s="248"/>
      <c r="V15" s="139">
        <f t="shared" si="5"/>
        <v>31.999999999999943</v>
      </c>
      <c r="X15" s="399" t="s">
        <v>312</v>
      </c>
      <c r="Y15" s="244">
        <v>579.9</v>
      </c>
      <c r="Z15" s="131">
        <v>1102.8</v>
      </c>
      <c r="AA15" s="507">
        <v>342.9</v>
      </c>
      <c r="AB15" s="516"/>
      <c r="AC15" s="131">
        <f>1102.8-84.7</f>
        <v>1018.0999999999999</v>
      </c>
      <c r="AD15" s="237"/>
      <c r="AE15" s="237"/>
      <c r="AG15" s="413"/>
      <c r="AH15" s="411">
        <f>AH13/AG13</f>
        <v>0.31583242655059851</v>
      </c>
      <c r="AI15" s="411">
        <f>AI13/AG13</f>
        <v>0.10845121508886471</v>
      </c>
      <c r="AJ15" s="411">
        <f>AJ13/AG13</f>
        <v>0.10155966630395358</v>
      </c>
      <c r="AK15" s="411">
        <f>AK13/AG13</f>
        <v>0.47415669205658323</v>
      </c>
      <c r="AL15" s="411"/>
      <c r="AM15" s="411">
        <f>AH15+AI15+AJ15+AK15</f>
        <v>1</v>
      </c>
      <c r="AN15" s="414"/>
      <c r="AO15" s="415"/>
      <c r="AP15" s="413"/>
      <c r="AQ15" s="411">
        <f>AQ13/AP13</f>
        <v>0.21942911717699798</v>
      </c>
      <c r="AR15" s="411">
        <f>AR13/AP13</f>
        <v>0.25278168051871336</v>
      </c>
      <c r="AS15" s="411">
        <f>AS13/AP13</f>
        <v>0.2638946011521443</v>
      </c>
      <c r="AT15" s="411">
        <f>AT13/AP13</f>
        <v>0.2638946011521443</v>
      </c>
      <c r="AU15" s="411"/>
      <c r="AV15" s="411">
        <f>AQ15+AR15+AS15+AT15</f>
        <v>1</v>
      </c>
      <c r="AW15" s="414"/>
      <c r="AX15" s="458"/>
    </row>
    <row r="16" spans="1:50" s="145" customFormat="1" ht="19.5">
      <c r="A16" s="108" t="s">
        <v>353</v>
      </c>
      <c r="B16" s="144" t="s">
        <v>313</v>
      </c>
      <c r="C16" s="131">
        <f>SUM(C17:C23)</f>
        <v>645.70000000000005</v>
      </c>
      <c r="D16" s="131">
        <f>SUM(D17:D23)</f>
        <v>832.4</v>
      </c>
      <c r="E16" s="131">
        <f>SUM(E17:E23)</f>
        <v>1104.8</v>
      </c>
      <c r="F16" s="131">
        <f t="shared" ref="F16:J16" si="10">SUM(F17:F23)</f>
        <v>1123.5999999999999</v>
      </c>
      <c r="G16" s="230">
        <f t="shared" si="10"/>
        <v>281</v>
      </c>
      <c r="H16" s="230">
        <f>SUM(H17:H23)</f>
        <v>281</v>
      </c>
      <c r="I16" s="230">
        <f t="shared" si="10"/>
        <v>280.8</v>
      </c>
      <c r="J16" s="230">
        <f t="shared" si="10"/>
        <v>280.8</v>
      </c>
      <c r="K16" s="237"/>
      <c r="L16" s="587" t="s">
        <v>313</v>
      </c>
      <c r="M16" s="244">
        <f>M17+M18+M19+M20+M21+M22+M23</f>
        <v>208.20000000000002</v>
      </c>
      <c r="N16" s="454">
        <f>N17+N18+N19+N20+N21</f>
        <v>30.7</v>
      </c>
      <c r="O16" s="248"/>
      <c r="P16" s="453">
        <f t="shared" si="1"/>
        <v>926.3</v>
      </c>
      <c r="Q16" s="115"/>
      <c r="R16" s="399" t="s">
        <v>313</v>
      </c>
      <c r="S16" s="244">
        <f>S17+S18+S19+S20+S21+S22+S23</f>
        <v>416.3</v>
      </c>
      <c r="T16" s="244">
        <f>T17+T18+T19+T20+T21+T22+T23</f>
        <v>957</v>
      </c>
      <c r="U16" s="248"/>
      <c r="V16" s="139">
        <f>AA16-T16</f>
        <v>24.700000000000045</v>
      </c>
      <c r="W16" s="115"/>
      <c r="X16" s="399" t="s">
        <v>313</v>
      </c>
      <c r="Y16" s="244">
        <f>Y17+Y18+Y19+Y20+Y21+Y22+Y23</f>
        <v>624.40000000000009</v>
      </c>
      <c r="Z16" s="131">
        <f>SUM(Z17:Z23)</f>
        <v>832.4</v>
      </c>
      <c r="AA16" s="507">
        <f>AA17+AA18+AA19+AA20+AA21+AA22+AA23</f>
        <v>981.7</v>
      </c>
      <c r="AB16" s="487"/>
      <c r="AC16" s="131">
        <f>SUM(AC17:AC23)</f>
        <v>1104.8</v>
      </c>
      <c r="AD16" s="237"/>
      <c r="AE16" s="237"/>
      <c r="AG16" s="413"/>
      <c r="AH16" s="411"/>
      <c r="AI16" s="411"/>
      <c r="AJ16" s="411"/>
      <c r="AK16" s="411"/>
      <c r="AL16" s="411"/>
      <c r="AM16" s="413"/>
      <c r="AN16" s="414"/>
      <c r="AO16" s="415"/>
      <c r="AP16" s="413"/>
      <c r="AQ16" s="411"/>
      <c r="AR16" s="411"/>
      <c r="AS16" s="411"/>
      <c r="AT16" s="411"/>
      <c r="AU16" s="411"/>
      <c r="AV16" s="413"/>
      <c r="AW16" s="414"/>
      <c r="AX16" s="458"/>
    </row>
    <row r="17" spans="1:51" s="145" customFormat="1" ht="56.25">
      <c r="A17" s="220" t="s">
        <v>366</v>
      </c>
      <c r="B17" s="144" t="s">
        <v>371</v>
      </c>
      <c r="C17" s="131"/>
      <c r="D17" s="131"/>
      <c r="E17" s="131"/>
      <c r="F17" s="131">
        <f t="shared" ref="F17:F29" si="11">G17+H17+I17+J17</f>
        <v>0</v>
      </c>
      <c r="G17" s="131"/>
      <c r="H17" s="131"/>
      <c r="I17" s="131"/>
      <c r="J17" s="131"/>
      <c r="K17" s="237"/>
      <c r="L17" s="587" t="s">
        <v>371</v>
      </c>
      <c r="M17" s="244"/>
      <c r="N17" s="139"/>
      <c r="O17" s="246"/>
      <c r="P17" s="453">
        <f t="shared" si="1"/>
        <v>0</v>
      </c>
      <c r="Q17" s="115"/>
      <c r="R17" s="399" t="s">
        <v>371</v>
      </c>
      <c r="S17" s="244"/>
      <c r="T17" s="238"/>
      <c r="U17" s="246"/>
      <c r="V17" s="139">
        <f t="shared" si="5"/>
        <v>0</v>
      </c>
      <c r="W17" s="344"/>
      <c r="X17" s="399" t="s">
        <v>371</v>
      </c>
      <c r="Y17" s="244"/>
      <c r="Z17" s="131"/>
      <c r="AA17" s="506"/>
      <c r="AB17" s="487"/>
      <c r="AC17" s="131"/>
      <c r="AD17" s="237"/>
      <c r="AE17" s="237"/>
      <c r="AG17" s="413">
        <v>616.74199999999996</v>
      </c>
      <c r="AH17" s="411">
        <f>AG17*AH15</f>
        <v>194.78712241566922</v>
      </c>
      <c r="AI17" s="411">
        <f>AG17*AI15</f>
        <v>66.886419296336598</v>
      </c>
      <c r="AJ17" s="411">
        <f>AG17*AJ15</f>
        <v>62.636111715632936</v>
      </c>
      <c r="AK17" s="411">
        <f>AG17*AK15</f>
        <v>292.43234657236121</v>
      </c>
      <c r="AL17" s="413"/>
      <c r="AM17" s="413"/>
      <c r="AN17" s="414">
        <v>2020</v>
      </c>
      <c r="AO17" s="415"/>
      <c r="AP17" s="413"/>
      <c r="AQ17" s="411">
        <f>AP17*AQ15</f>
        <v>0</v>
      </c>
      <c r="AR17" s="411">
        <f>AP17*AR15</f>
        <v>0</v>
      </c>
      <c r="AS17" s="411">
        <f>AP17*AS15</f>
        <v>0</v>
      </c>
      <c r="AT17" s="411">
        <f>AP17*AT15</f>
        <v>0</v>
      </c>
      <c r="AU17" s="413"/>
      <c r="AV17" s="413"/>
      <c r="AW17" s="414">
        <v>2020</v>
      </c>
      <c r="AX17" s="458"/>
    </row>
    <row r="18" spans="1:51" s="145" customFormat="1" ht="56.25">
      <c r="A18" s="220" t="s">
        <v>367</v>
      </c>
      <c r="B18" s="144" t="s">
        <v>372</v>
      </c>
      <c r="C18" s="131"/>
      <c r="D18" s="131"/>
      <c r="E18" s="131"/>
      <c r="F18" s="131">
        <f t="shared" si="11"/>
        <v>0</v>
      </c>
      <c r="G18" s="131"/>
      <c r="H18" s="131"/>
      <c r="I18" s="131"/>
      <c r="J18" s="131"/>
      <c r="K18" s="237"/>
      <c r="L18" s="587" t="s">
        <v>372</v>
      </c>
      <c r="M18" s="244"/>
      <c r="N18" s="139"/>
      <c r="O18" s="246"/>
      <c r="P18" s="453">
        <f t="shared" si="1"/>
        <v>0</v>
      </c>
      <c r="Q18" s="115"/>
      <c r="R18" s="399" t="s">
        <v>372</v>
      </c>
      <c r="S18" s="244"/>
      <c r="T18" s="238"/>
      <c r="U18" s="246"/>
      <c r="V18" s="139">
        <f t="shared" si="5"/>
        <v>0</v>
      </c>
      <c r="W18" s="126"/>
      <c r="X18" s="399" t="s">
        <v>372</v>
      </c>
      <c r="Y18" s="244"/>
      <c r="Z18" s="131"/>
      <c r="AA18" s="506"/>
      <c r="AB18" s="518"/>
      <c r="AC18" s="131"/>
      <c r="AD18" s="237"/>
      <c r="AE18" s="237"/>
      <c r="AN18" s="393"/>
      <c r="AX18" s="458"/>
    </row>
    <row r="19" spans="1:51" s="145" customFormat="1" ht="56.25">
      <c r="A19" s="220" t="s">
        <v>398</v>
      </c>
      <c r="B19" s="144" t="s">
        <v>373</v>
      </c>
      <c r="C19" s="230"/>
      <c r="D19" s="230">
        <v>37.5</v>
      </c>
      <c r="E19" s="230"/>
      <c r="F19" s="131">
        <f t="shared" si="11"/>
        <v>25</v>
      </c>
      <c r="G19" s="230">
        <v>6.3</v>
      </c>
      <c r="H19" s="230">
        <v>6.3</v>
      </c>
      <c r="I19" s="230">
        <v>6.2</v>
      </c>
      <c r="J19" s="230">
        <v>6.2</v>
      </c>
      <c r="K19" s="237"/>
      <c r="L19" s="587" t="s">
        <v>373</v>
      </c>
      <c r="M19" s="244">
        <v>9.4</v>
      </c>
      <c r="N19" s="454"/>
      <c r="O19" s="248"/>
      <c r="P19" s="453">
        <f t="shared" si="1"/>
        <v>0</v>
      </c>
      <c r="Q19" s="344"/>
      <c r="R19" s="399" t="s">
        <v>373</v>
      </c>
      <c r="S19" s="244">
        <v>18.8</v>
      </c>
      <c r="T19" s="244"/>
      <c r="U19" s="248"/>
      <c r="V19" s="139">
        <f t="shared" si="5"/>
        <v>0</v>
      </c>
      <c r="W19" s="397"/>
      <c r="X19" s="399" t="s">
        <v>373</v>
      </c>
      <c r="Y19" s="244">
        <v>28.2</v>
      </c>
      <c r="Z19" s="230">
        <v>37.5</v>
      </c>
      <c r="AA19" s="507"/>
      <c r="AB19" s="519"/>
      <c r="AC19" s="230"/>
      <c r="AD19" s="237"/>
      <c r="AE19" s="237"/>
      <c r="AF19" s="392"/>
      <c r="AG19" s="376"/>
      <c r="AH19" s="376"/>
      <c r="AI19" s="418">
        <v>2271</v>
      </c>
      <c r="AJ19" s="418">
        <v>2272</v>
      </c>
      <c r="AK19" s="418">
        <v>2273</v>
      </c>
      <c r="AL19" s="419"/>
      <c r="AM19" s="376"/>
      <c r="AN19" s="376"/>
      <c r="AO19" s="457">
        <v>2018</v>
      </c>
      <c r="AQ19" s="376"/>
      <c r="AR19" s="376"/>
      <c r="AS19" s="418">
        <v>2271</v>
      </c>
      <c r="AT19" s="418">
        <v>2272</v>
      </c>
      <c r="AU19" s="418">
        <v>2273</v>
      </c>
      <c r="AV19" s="419"/>
      <c r="AW19" s="376"/>
      <c r="AX19" s="375"/>
      <c r="AY19" s="457">
        <v>2020</v>
      </c>
    </row>
    <row r="20" spans="1:51" s="145" customFormat="1" ht="19.5">
      <c r="A20" s="220" t="s">
        <v>368</v>
      </c>
      <c r="B20" s="144" t="s">
        <v>374</v>
      </c>
      <c r="C20" s="230"/>
      <c r="D20" s="230"/>
      <c r="E20" s="131"/>
      <c r="F20" s="131">
        <f t="shared" si="11"/>
        <v>0</v>
      </c>
      <c r="G20" s="230"/>
      <c r="H20" s="230"/>
      <c r="I20" s="230"/>
      <c r="J20" s="230"/>
      <c r="K20" s="237"/>
      <c r="L20" s="587" t="s">
        <v>374</v>
      </c>
      <c r="M20" s="244"/>
      <c r="N20" s="139"/>
      <c r="O20" s="246"/>
      <c r="P20" s="453">
        <f t="shared" si="1"/>
        <v>0</v>
      </c>
      <c r="Q20" s="344"/>
      <c r="R20" s="399" t="s">
        <v>374</v>
      </c>
      <c r="S20" s="244"/>
      <c r="T20" s="238"/>
      <c r="U20" s="246"/>
      <c r="V20" s="139">
        <f t="shared" si="5"/>
        <v>0</v>
      </c>
      <c r="W20" s="344"/>
      <c r="X20" s="399" t="s">
        <v>374</v>
      </c>
      <c r="Y20" s="244"/>
      <c r="Z20" s="230"/>
      <c r="AA20" s="506"/>
      <c r="AB20" s="519"/>
      <c r="AC20" s="230"/>
      <c r="AD20" s="237"/>
      <c r="AE20" s="237"/>
      <c r="AF20" s="392"/>
      <c r="AG20" s="376"/>
      <c r="AH20" s="376"/>
      <c r="AI20" s="421">
        <v>481.1</v>
      </c>
      <c r="AJ20" s="421">
        <v>33.200000000000003</v>
      </c>
      <c r="AK20" s="421">
        <v>110.5</v>
      </c>
      <c r="AL20" s="419"/>
      <c r="AM20" s="376"/>
      <c r="AN20" s="421">
        <f>SUM(AI20:AK20)</f>
        <v>624.80000000000007</v>
      </c>
      <c r="AO20" s="409"/>
      <c r="AQ20" s="376"/>
      <c r="AR20" s="376"/>
      <c r="AS20" s="421">
        <v>421.1</v>
      </c>
      <c r="AT20" s="421">
        <v>43.6</v>
      </c>
      <c r="AU20" s="421">
        <v>144.5</v>
      </c>
      <c r="AV20" s="419"/>
      <c r="AW20" s="376"/>
      <c r="AX20" s="375">
        <f>SUM(AS20:AU20)</f>
        <v>609.20000000000005</v>
      </c>
      <c r="AY20" s="409"/>
    </row>
    <row r="21" spans="1:51" s="145" customFormat="1" ht="37.5">
      <c r="A21" s="220" t="s">
        <v>399</v>
      </c>
      <c r="B21" s="144" t="s">
        <v>375</v>
      </c>
      <c r="C21" s="230">
        <v>645.70000000000005</v>
      </c>
      <c r="D21" s="230">
        <v>794.9</v>
      </c>
      <c r="E21" s="131">
        <v>1104.8</v>
      </c>
      <c r="F21" s="131">
        <f t="shared" si="11"/>
        <v>1098.5999999999999</v>
      </c>
      <c r="G21" s="230">
        <v>274.7</v>
      </c>
      <c r="H21" s="230">
        <v>274.7</v>
      </c>
      <c r="I21" s="230">
        <v>274.60000000000002</v>
      </c>
      <c r="J21" s="230">
        <v>274.60000000000002</v>
      </c>
      <c r="K21" s="237"/>
      <c r="L21" s="587" t="s">
        <v>375</v>
      </c>
      <c r="M21" s="244">
        <v>198.8</v>
      </c>
      <c r="N21" s="454">
        <v>30.7</v>
      </c>
      <c r="O21" s="248"/>
      <c r="P21" s="453">
        <f t="shared" si="1"/>
        <v>926.3</v>
      </c>
      <c r="Q21" s="398"/>
      <c r="R21" s="399" t="s">
        <v>375</v>
      </c>
      <c r="S21" s="244">
        <v>397.5</v>
      </c>
      <c r="T21" s="244">
        <v>957</v>
      </c>
      <c r="U21" s="248"/>
      <c r="V21" s="139">
        <f t="shared" si="5"/>
        <v>24.700000000000045</v>
      </c>
      <c r="W21" s="398"/>
      <c r="X21" s="399" t="s">
        <v>375</v>
      </c>
      <c r="Y21" s="244">
        <v>596.20000000000005</v>
      </c>
      <c r="Z21" s="230">
        <v>794.9</v>
      </c>
      <c r="AA21" s="507">
        <v>981.7</v>
      </c>
      <c r="AB21" s="520"/>
      <c r="AC21" s="230">
        <v>1104.8</v>
      </c>
      <c r="AD21" s="237"/>
      <c r="AE21" s="237"/>
      <c r="AF21" s="392"/>
      <c r="AG21" s="376"/>
      <c r="AH21" s="376" t="s">
        <v>431</v>
      </c>
      <c r="AI21" s="421"/>
      <c r="AJ21" s="421"/>
      <c r="AK21" s="421"/>
      <c r="AL21" s="419" t="s">
        <v>432</v>
      </c>
      <c r="AM21" s="376"/>
      <c r="AN21" s="376"/>
      <c r="AO21" s="376"/>
      <c r="AQ21" s="376"/>
      <c r="AR21" s="376" t="s">
        <v>431</v>
      </c>
      <c r="AS21" s="421"/>
      <c r="AT21" s="421"/>
      <c r="AU21" s="421"/>
      <c r="AV21" s="419" t="s">
        <v>432</v>
      </c>
      <c r="AW21" s="376"/>
      <c r="AX21" s="375"/>
      <c r="AY21" s="376"/>
    </row>
    <row r="22" spans="1:51" s="145" customFormat="1" ht="19.5">
      <c r="A22" s="220" t="s">
        <v>370</v>
      </c>
      <c r="B22" s="144" t="s">
        <v>376</v>
      </c>
      <c r="C22" s="230"/>
      <c r="D22" s="230"/>
      <c r="E22" s="131"/>
      <c r="F22" s="131">
        <f t="shared" si="11"/>
        <v>0</v>
      </c>
      <c r="G22" s="131"/>
      <c r="H22" s="131"/>
      <c r="I22" s="131"/>
      <c r="J22" s="131"/>
      <c r="K22" s="237"/>
      <c r="L22" s="587" t="s">
        <v>376</v>
      </c>
      <c r="M22" s="244"/>
      <c r="N22" s="139"/>
      <c r="O22" s="246"/>
      <c r="P22" s="453">
        <f t="shared" si="1"/>
        <v>0</v>
      </c>
      <c r="Q22" s="347"/>
      <c r="R22" s="399" t="s">
        <v>376</v>
      </c>
      <c r="S22" s="244"/>
      <c r="T22" s="238"/>
      <c r="U22" s="246"/>
      <c r="V22" s="139">
        <f t="shared" si="5"/>
        <v>0</v>
      </c>
      <c r="W22" s="347"/>
      <c r="X22" s="399" t="s">
        <v>376</v>
      </c>
      <c r="Y22" s="244"/>
      <c r="Z22" s="230"/>
      <c r="AA22" s="506"/>
      <c r="AB22" s="521"/>
      <c r="AC22" s="230"/>
      <c r="AD22" s="237"/>
      <c r="AE22" s="237"/>
      <c r="AG22" s="376">
        <v>2273</v>
      </c>
      <c r="AH22" s="376">
        <v>2271</v>
      </c>
      <c r="AI22" s="376">
        <v>2272</v>
      </c>
      <c r="AJ22" s="421"/>
      <c r="AK22" s="421"/>
      <c r="AL22" s="419">
        <v>2273</v>
      </c>
      <c r="AM22" s="376">
        <v>2271</v>
      </c>
      <c r="AN22" s="376">
        <v>2272</v>
      </c>
      <c r="AO22" s="420"/>
      <c r="AQ22" s="376">
        <v>2273</v>
      </c>
      <c r="AR22" s="376">
        <v>2271</v>
      </c>
      <c r="AS22" s="376">
        <v>2272</v>
      </c>
      <c r="AT22" s="421"/>
      <c r="AU22" s="421"/>
      <c r="AV22" s="419">
        <v>2273</v>
      </c>
      <c r="AW22" s="376">
        <v>2271</v>
      </c>
      <c r="AX22" s="375">
        <v>2272</v>
      </c>
      <c r="AY22" s="420"/>
    </row>
    <row r="23" spans="1:51" s="145" customFormat="1" ht="75">
      <c r="A23" s="220" t="s">
        <v>369</v>
      </c>
      <c r="B23" s="144" t="s">
        <v>377</v>
      </c>
      <c r="C23" s="131"/>
      <c r="D23" s="131"/>
      <c r="E23" s="131"/>
      <c r="F23" s="131">
        <f t="shared" si="11"/>
        <v>0</v>
      </c>
      <c r="G23" s="131"/>
      <c r="H23" s="131"/>
      <c r="I23" s="131"/>
      <c r="J23" s="131"/>
      <c r="K23" s="237"/>
      <c r="L23" s="587" t="s">
        <v>377</v>
      </c>
      <c r="M23" s="244"/>
      <c r="N23" s="139"/>
      <c r="O23" s="246"/>
      <c r="P23" s="453">
        <f t="shared" si="1"/>
        <v>0</v>
      </c>
      <c r="Q23" s="114"/>
      <c r="R23" s="399" t="s">
        <v>377</v>
      </c>
      <c r="S23" s="244"/>
      <c r="T23" s="238"/>
      <c r="U23" s="246"/>
      <c r="V23" s="139">
        <f t="shared" si="5"/>
        <v>0</v>
      </c>
      <c r="W23" s="114"/>
      <c r="X23" s="399" t="s">
        <v>377</v>
      </c>
      <c r="Y23" s="244"/>
      <c r="Z23" s="131"/>
      <c r="AA23" s="506"/>
      <c r="AB23" s="487"/>
      <c r="AC23" s="131"/>
      <c r="AD23" s="237"/>
      <c r="AE23" s="237"/>
      <c r="AG23" s="422">
        <v>6.9999999999999999E-4</v>
      </c>
      <c r="AH23" s="422">
        <v>6.9999999999999999E-4</v>
      </c>
      <c r="AI23" s="422">
        <v>6.9999999999999999E-4</v>
      </c>
      <c r="AJ23" s="423"/>
      <c r="AK23" s="423"/>
      <c r="AL23" s="422">
        <v>9.2999999999999992E-3</v>
      </c>
      <c r="AM23" s="422">
        <v>9.2999999999999992E-3</v>
      </c>
      <c r="AN23" s="422">
        <v>9.2999999999999992E-3</v>
      </c>
      <c r="AO23" s="420"/>
      <c r="AQ23" s="422">
        <v>6.9999999999999999E-4</v>
      </c>
      <c r="AR23" s="422">
        <v>6.9999999999999999E-4</v>
      </c>
      <c r="AS23" s="422">
        <v>6.9999999999999999E-4</v>
      </c>
      <c r="AT23" s="423"/>
      <c r="AU23" s="423"/>
      <c r="AV23" s="422">
        <v>9.2999999999999992E-3</v>
      </c>
      <c r="AW23" s="422">
        <v>9.2999999999999992E-3</v>
      </c>
      <c r="AX23" s="422">
        <v>9.2999999999999992E-3</v>
      </c>
      <c r="AY23" s="420"/>
    </row>
    <row r="24" spans="1:51" s="145" customFormat="1" ht="19.5">
      <c r="A24" s="108" t="s">
        <v>334</v>
      </c>
      <c r="B24" s="144" t="s">
        <v>314</v>
      </c>
      <c r="C24" s="230">
        <v>6006.7</v>
      </c>
      <c r="D24" s="230"/>
      <c r="E24" s="131"/>
      <c r="F24" s="131">
        <f t="shared" si="11"/>
        <v>0</v>
      </c>
      <c r="G24" s="131"/>
      <c r="H24" s="131"/>
      <c r="I24" s="131"/>
      <c r="J24" s="131"/>
      <c r="K24" s="237"/>
      <c r="L24" s="603" t="s">
        <v>314</v>
      </c>
      <c r="M24" s="238">
        <f>SUM(M25:M29)</f>
        <v>0</v>
      </c>
      <c r="N24" s="139">
        <f>SUM(N25:N29)</f>
        <v>610</v>
      </c>
      <c r="O24" s="246"/>
      <c r="P24" s="453">
        <f t="shared" si="1"/>
        <v>791.2</v>
      </c>
      <c r="Q24" s="236"/>
      <c r="R24" s="401" t="s">
        <v>314</v>
      </c>
      <c r="S24" s="238">
        <f>SUM(S25:S29)</f>
        <v>0</v>
      </c>
      <c r="T24" s="238">
        <f>SUM(T25:T29)</f>
        <v>1401.2</v>
      </c>
      <c r="U24" s="246"/>
      <c r="V24" s="139">
        <f t="shared" si="5"/>
        <v>695.7</v>
      </c>
      <c r="W24" s="236"/>
      <c r="X24" s="401" t="s">
        <v>314</v>
      </c>
      <c r="Y24" s="238">
        <f>SUM(Y25:Y29)</f>
        <v>0</v>
      </c>
      <c r="Z24" s="230"/>
      <c r="AA24" s="506">
        <f>SUM(AA25:AA29)</f>
        <v>2096.9</v>
      </c>
      <c r="AB24" s="495"/>
      <c r="AC24" s="230"/>
      <c r="AD24" s="237"/>
      <c r="AE24" s="237"/>
      <c r="AG24" s="375">
        <f>AK20*AG23*100</f>
        <v>7.7350000000000003</v>
      </c>
      <c r="AH24" s="375">
        <f>AI20*AH23*100</f>
        <v>33.677</v>
      </c>
      <c r="AI24" s="375">
        <f>AJ20*AI23*100</f>
        <v>2.3239999999999998</v>
      </c>
      <c r="AJ24" s="375"/>
      <c r="AK24" s="375"/>
      <c r="AL24" s="375">
        <f>AK20*AL23*100</f>
        <v>102.765</v>
      </c>
      <c r="AM24" s="375">
        <f>AI20*AM23*100</f>
        <v>447.42299999999994</v>
      </c>
      <c r="AN24" s="375">
        <f>AJ20*AN23*100</f>
        <v>30.875999999999998</v>
      </c>
      <c r="AO24" s="420"/>
      <c r="AQ24" s="375">
        <f>AU20*AQ23*100</f>
        <v>10.115</v>
      </c>
      <c r="AR24" s="375">
        <f>AS20*AR23*100</f>
        <v>29.477000000000004</v>
      </c>
      <c r="AS24" s="375">
        <f>AT20*AS23*100</f>
        <v>3.052</v>
      </c>
      <c r="AT24" s="375"/>
      <c r="AU24" s="375"/>
      <c r="AV24" s="375">
        <f>AU20*AV23*100</f>
        <v>134.38499999999999</v>
      </c>
      <c r="AW24" s="375">
        <f>AS20*AW23*100</f>
        <v>391.62299999999999</v>
      </c>
      <c r="AX24" s="375">
        <f>AT20*AX23*100</f>
        <v>40.548000000000002</v>
      </c>
      <c r="AY24" s="420"/>
    </row>
    <row r="25" spans="1:51" s="145" customFormat="1" ht="56.25">
      <c r="A25" s="108" t="s">
        <v>400</v>
      </c>
      <c r="B25" s="144" t="s">
        <v>315</v>
      </c>
      <c r="C25" s="131">
        <v>1717.9</v>
      </c>
      <c r="D25" s="131"/>
      <c r="E25" s="131"/>
      <c r="F25" s="131">
        <f t="shared" si="11"/>
        <v>0</v>
      </c>
      <c r="G25" s="131"/>
      <c r="H25" s="131"/>
      <c r="I25" s="131"/>
      <c r="J25" s="131"/>
      <c r="K25" s="237"/>
      <c r="L25" s="587" t="s">
        <v>315</v>
      </c>
      <c r="M25" s="238"/>
      <c r="N25" s="139"/>
      <c r="O25" s="246"/>
      <c r="P25" s="453">
        <f t="shared" si="1"/>
        <v>0</v>
      </c>
      <c r="Q25" s="115"/>
      <c r="R25" s="399" t="s">
        <v>315</v>
      </c>
      <c r="S25" s="238"/>
      <c r="T25" s="238"/>
      <c r="U25" s="246"/>
      <c r="V25" s="139">
        <f t="shared" si="5"/>
        <v>0</v>
      </c>
      <c r="W25" s="126"/>
      <c r="X25" s="399" t="s">
        <v>315</v>
      </c>
      <c r="Y25" s="238"/>
      <c r="Z25" s="131"/>
      <c r="AA25" s="506"/>
      <c r="AB25" s="487"/>
      <c r="AC25" s="131"/>
      <c r="AD25" s="237"/>
      <c r="AE25" s="237"/>
      <c r="AG25" s="424" t="s">
        <v>465</v>
      </c>
      <c r="AH25" s="16"/>
      <c r="AI25" s="16"/>
      <c r="AJ25" s="16"/>
      <c r="AK25" s="240"/>
      <c r="AL25" s="425"/>
      <c r="AM25" s="16"/>
      <c r="AN25" s="16"/>
      <c r="AO25" s="240"/>
      <c r="AQ25" s="424" t="s">
        <v>465</v>
      </c>
      <c r="AR25" s="16"/>
      <c r="AS25" s="16"/>
      <c r="AT25" s="16"/>
      <c r="AU25" s="240"/>
      <c r="AV25" s="425"/>
      <c r="AW25" s="16"/>
      <c r="AX25" s="240"/>
      <c r="AY25" s="240"/>
    </row>
    <row r="26" spans="1:51" s="145" customFormat="1" ht="37.5">
      <c r="A26" s="108" t="s">
        <v>401</v>
      </c>
      <c r="B26" s="144" t="s">
        <v>316</v>
      </c>
      <c r="C26" s="131">
        <v>795.4</v>
      </c>
      <c r="D26" s="131"/>
      <c r="E26" s="131"/>
      <c r="F26" s="131">
        <f t="shared" si="11"/>
        <v>0</v>
      </c>
      <c r="G26" s="131"/>
      <c r="H26" s="131"/>
      <c r="I26" s="131"/>
      <c r="J26" s="131"/>
      <c r="K26" s="237"/>
      <c r="L26" s="587" t="s">
        <v>316</v>
      </c>
      <c r="M26" s="238"/>
      <c r="N26" s="139"/>
      <c r="O26" s="246"/>
      <c r="P26" s="453">
        <f t="shared" si="1"/>
        <v>0</v>
      </c>
      <c r="Q26" s="115"/>
      <c r="R26" s="399" t="s">
        <v>316</v>
      </c>
      <c r="S26" s="238"/>
      <c r="T26" s="238"/>
      <c r="U26" s="246"/>
      <c r="V26" s="139">
        <f t="shared" si="5"/>
        <v>0</v>
      </c>
      <c r="W26" s="115"/>
      <c r="X26" s="399" t="s">
        <v>316</v>
      </c>
      <c r="Y26" s="238"/>
      <c r="Z26" s="131"/>
      <c r="AA26" s="506"/>
      <c r="AB26" s="487"/>
      <c r="AC26" s="131"/>
      <c r="AD26" s="237"/>
      <c r="AE26" s="237"/>
      <c r="AN26" s="393"/>
      <c r="AX26" s="458"/>
    </row>
    <row r="27" spans="1:51" s="145" customFormat="1" ht="61.5" customHeight="1">
      <c r="A27" s="108" t="s">
        <v>402</v>
      </c>
      <c r="B27" s="144" t="s">
        <v>335</v>
      </c>
      <c r="C27" s="131">
        <v>3086.9</v>
      </c>
      <c r="D27" s="131"/>
      <c r="E27" s="230">
        <v>3794.7</v>
      </c>
      <c r="F27" s="131">
        <f t="shared" si="11"/>
        <v>1113.4000000000001</v>
      </c>
      <c r="G27" s="131">
        <v>1113.4000000000001</v>
      </c>
      <c r="H27" s="131"/>
      <c r="I27" s="131"/>
      <c r="J27" s="131"/>
      <c r="K27" s="237"/>
      <c r="L27" s="587" t="s">
        <v>335</v>
      </c>
      <c r="M27" s="244"/>
      <c r="N27" s="139">
        <v>610</v>
      </c>
      <c r="O27" s="246"/>
      <c r="P27" s="453">
        <f t="shared" si="1"/>
        <v>791.2</v>
      </c>
      <c r="Q27" s="346"/>
      <c r="R27" s="399" t="s">
        <v>335</v>
      </c>
      <c r="S27" s="244"/>
      <c r="T27" s="141">
        <v>1401.2</v>
      </c>
      <c r="U27" s="27"/>
      <c r="V27" s="139">
        <f t="shared" si="5"/>
        <v>695.7</v>
      </c>
      <c r="W27" s="346"/>
      <c r="X27" s="399" t="s">
        <v>335</v>
      </c>
      <c r="Y27" s="244"/>
      <c r="Z27" s="131"/>
      <c r="AA27" s="506">
        <v>2096.9</v>
      </c>
      <c r="AB27" s="522"/>
      <c r="AC27" s="230">
        <v>3794.7</v>
      </c>
      <c r="AD27" s="237"/>
      <c r="AE27" s="237"/>
      <c r="AG27" s="112"/>
      <c r="AH27" s="112"/>
      <c r="AI27" s="492"/>
      <c r="AJ27" s="492"/>
      <c r="AK27" s="492"/>
      <c r="AL27" s="492"/>
      <c r="AM27" s="492"/>
      <c r="AN27" s="493"/>
      <c r="AO27" s="236"/>
      <c r="AQ27" s="376"/>
      <c r="AR27" s="376"/>
      <c r="AS27" s="418">
        <v>2271</v>
      </c>
      <c r="AT27" s="418">
        <v>2272</v>
      </c>
      <c r="AU27" s="418">
        <v>2273</v>
      </c>
      <c r="AV27" s="419"/>
      <c r="AW27" s="376"/>
      <c r="AX27" s="375"/>
      <c r="AY27" s="457">
        <v>2020</v>
      </c>
    </row>
    <row r="28" spans="1:51" s="145" customFormat="1" ht="37.5">
      <c r="A28" s="108" t="s">
        <v>309</v>
      </c>
      <c r="B28" s="144" t="s">
        <v>336</v>
      </c>
      <c r="C28" s="131"/>
      <c r="D28" s="131"/>
      <c r="E28" s="131"/>
      <c r="F28" s="131">
        <f t="shared" si="11"/>
        <v>0</v>
      </c>
      <c r="G28" s="131"/>
      <c r="H28" s="131"/>
      <c r="I28" s="131"/>
      <c r="J28" s="131"/>
      <c r="K28" s="237"/>
      <c r="L28" s="587" t="s">
        <v>336</v>
      </c>
      <c r="M28" s="244"/>
      <c r="N28" s="139"/>
      <c r="O28" s="246"/>
      <c r="P28" s="453">
        <f t="shared" si="1"/>
        <v>0</v>
      </c>
      <c r="Q28" s="115"/>
      <c r="R28" s="399" t="s">
        <v>336</v>
      </c>
      <c r="S28" s="244"/>
      <c r="T28" s="141"/>
      <c r="U28" s="27"/>
      <c r="V28" s="139">
        <f t="shared" si="5"/>
        <v>0</v>
      </c>
      <c r="W28" s="126"/>
      <c r="X28" s="399" t="s">
        <v>336</v>
      </c>
      <c r="Y28" s="244"/>
      <c r="Z28" s="131"/>
      <c r="AA28" s="506"/>
      <c r="AB28" s="487"/>
      <c r="AC28" s="131"/>
      <c r="AD28" s="237"/>
      <c r="AE28" s="237"/>
      <c r="AG28" s="112"/>
      <c r="AH28" s="112"/>
      <c r="AI28" s="112"/>
      <c r="AJ28" s="112"/>
      <c r="AK28" s="112"/>
      <c r="AL28" s="112"/>
      <c r="AM28" s="112"/>
      <c r="AN28" s="496"/>
      <c r="AO28" s="236"/>
      <c r="AQ28" s="376"/>
      <c r="AR28" s="376"/>
      <c r="AS28" s="421">
        <v>42</v>
      </c>
      <c r="AT28" s="421"/>
      <c r="AU28" s="421"/>
      <c r="AV28" s="419"/>
      <c r="AW28" s="376"/>
      <c r="AX28" s="375">
        <f>SUM(AS28:AU28)</f>
        <v>42</v>
      </c>
      <c r="AY28" s="409"/>
    </row>
    <row r="29" spans="1:51" s="145" customFormat="1" ht="56.25">
      <c r="A29" s="108" t="s">
        <v>310</v>
      </c>
      <c r="B29" s="144" t="s">
        <v>337</v>
      </c>
      <c r="C29" s="230">
        <v>1252.2</v>
      </c>
      <c r="D29" s="131"/>
      <c r="E29" s="131"/>
      <c r="F29" s="131">
        <f t="shared" si="11"/>
        <v>0</v>
      </c>
      <c r="G29" s="131"/>
      <c r="H29" s="131"/>
      <c r="I29" s="131"/>
      <c r="J29" s="131"/>
      <c r="K29" s="237"/>
      <c r="L29" s="587" t="s">
        <v>337</v>
      </c>
      <c r="M29" s="244"/>
      <c r="N29" s="139"/>
      <c r="O29" s="246"/>
      <c r="P29" s="453">
        <f t="shared" si="1"/>
        <v>0</v>
      </c>
      <c r="Q29" s="114"/>
      <c r="R29" s="399" t="s">
        <v>337</v>
      </c>
      <c r="S29" s="244"/>
      <c r="T29" s="141"/>
      <c r="U29" s="27"/>
      <c r="V29" s="139">
        <f t="shared" si="5"/>
        <v>0</v>
      </c>
      <c r="W29" s="114"/>
      <c r="X29" s="399" t="s">
        <v>337</v>
      </c>
      <c r="Y29" s="244"/>
      <c r="Z29" s="131"/>
      <c r="AA29" s="506"/>
      <c r="AB29" s="487"/>
      <c r="AC29" s="131"/>
      <c r="AD29" s="237"/>
      <c r="AE29" s="237"/>
      <c r="AG29" s="497"/>
      <c r="AH29" s="237"/>
      <c r="AI29" s="237"/>
      <c r="AJ29" s="237"/>
      <c r="AK29" s="237"/>
      <c r="AL29" s="236"/>
      <c r="AM29" s="236"/>
      <c r="AN29" s="392"/>
      <c r="AO29" s="236"/>
      <c r="AQ29" s="376"/>
      <c r="AR29" s="376" t="s">
        <v>431</v>
      </c>
      <c r="AS29" s="421"/>
      <c r="AT29" s="421"/>
      <c r="AU29" s="421"/>
      <c r="AV29" s="419" t="s">
        <v>432</v>
      </c>
      <c r="AW29" s="376"/>
      <c r="AX29" s="375"/>
      <c r="AY29" s="376"/>
    </row>
    <row r="30" spans="1:51" s="5" customFormat="1" ht="20.100000000000001" customHeight="1">
      <c r="A30" s="388" t="s">
        <v>295</v>
      </c>
      <c r="B30" s="588">
        <v>1013</v>
      </c>
      <c r="C30" s="238">
        <v>681.6</v>
      </c>
      <c r="D30" s="238"/>
      <c r="E30" s="238">
        <v>0.2</v>
      </c>
      <c r="F30" s="238">
        <f>G30+H30+I30+J30</f>
        <v>0</v>
      </c>
      <c r="G30" s="238"/>
      <c r="H30" s="238"/>
      <c r="I30" s="238"/>
      <c r="J30" s="238"/>
      <c r="K30" s="246"/>
      <c r="L30" s="587">
        <v>1013</v>
      </c>
      <c r="M30" s="238"/>
      <c r="N30" s="139">
        <v>0.2</v>
      </c>
      <c r="O30" s="246"/>
      <c r="P30" s="453">
        <f t="shared" si="1"/>
        <v>0</v>
      </c>
      <c r="Q30" s="112"/>
      <c r="R30" s="399">
        <v>1013</v>
      </c>
      <c r="S30" s="238"/>
      <c r="T30" s="238">
        <v>0.2</v>
      </c>
      <c r="U30" s="246"/>
      <c r="V30" s="139">
        <f t="shared" si="5"/>
        <v>0</v>
      </c>
      <c r="W30" s="112"/>
      <c r="X30" s="399">
        <v>1013</v>
      </c>
      <c r="Y30" s="238"/>
      <c r="Z30" s="238"/>
      <c r="AA30" s="506">
        <v>0.2</v>
      </c>
      <c r="AB30" s="494"/>
      <c r="AC30" s="238">
        <v>0.2</v>
      </c>
      <c r="AD30" s="246"/>
      <c r="AE30" s="246"/>
      <c r="AG30" s="112"/>
      <c r="AH30" s="112"/>
      <c r="AI30" s="112"/>
      <c r="AJ30" s="112"/>
      <c r="AK30" s="112"/>
      <c r="AL30" s="112"/>
      <c r="AM30" s="112"/>
      <c r="AN30" s="496"/>
      <c r="AO30" s="112"/>
      <c r="AQ30" s="376">
        <v>2273</v>
      </c>
      <c r="AR30" s="376">
        <v>2271</v>
      </c>
      <c r="AS30" s="376">
        <v>2272</v>
      </c>
      <c r="AT30" s="421"/>
      <c r="AU30" s="421"/>
      <c r="AV30" s="419">
        <v>2273</v>
      </c>
      <c r="AW30" s="376">
        <v>2271</v>
      </c>
      <c r="AX30" s="375">
        <v>2272</v>
      </c>
      <c r="AY30" s="420"/>
    </row>
    <row r="31" spans="1:51" s="5" customFormat="1" ht="20.100000000000001" customHeight="1">
      <c r="A31" s="130" t="s">
        <v>240</v>
      </c>
      <c r="B31" s="582">
        <v>1020</v>
      </c>
      <c r="C31" s="141"/>
      <c r="D31" s="141"/>
      <c r="E31" s="141"/>
      <c r="F31" s="141">
        <f>G31+H31+I31+J31</f>
        <v>0</v>
      </c>
      <c r="G31" s="141"/>
      <c r="H31" s="141"/>
      <c r="I31" s="141"/>
      <c r="J31" s="141"/>
      <c r="K31" s="246"/>
      <c r="L31" s="587">
        <v>1020</v>
      </c>
      <c r="M31" s="426"/>
      <c r="N31" s="139"/>
      <c r="O31" s="246"/>
      <c r="P31" s="453">
        <f t="shared" si="1"/>
        <v>0</v>
      </c>
      <c r="Q31" s="112"/>
      <c r="R31" s="399">
        <v>1020</v>
      </c>
      <c r="S31" s="426"/>
      <c r="T31" s="141"/>
      <c r="U31" s="27"/>
      <c r="V31" s="139">
        <f t="shared" si="5"/>
        <v>0</v>
      </c>
      <c r="W31" s="112"/>
      <c r="X31" s="399">
        <v>1020</v>
      </c>
      <c r="Y31" s="426"/>
      <c r="Z31" s="141"/>
      <c r="AA31" s="506"/>
      <c r="AB31" s="494"/>
      <c r="AC31" s="141"/>
      <c r="AD31" s="246"/>
      <c r="AE31" s="246"/>
      <c r="AG31" s="236"/>
      <c r="AH31" s="497"/>
      <c r="AI31" s="497"/>
      <c r="AJ31" s="497"/>
      <c r="AK31" s="497"/>
      <c r="AL31" s="497"/>
      <c r="AM31" s="497"/>
      <c r="AN31" s="392"/>
      <c r="AO31" s="112"/>
      <c r="AQ31" s="422">
        <v>6.9999999999999999E-4</v>
      </c>
      <c r="AR31" s="422">
        <v>6.9999999999999999E-4</v>
      </c>
      <c r="AS31" s="422">
        <v>6.9999999999999999E-4</v>
      </c>
      <c r="AT31" s="423"/>
      <c r="AU31" s="423"/>
      <c r="AV31" s="422">
        <v>9.2999999999999992E-3</v>
      </c>
      <c r="AW31" s="422">
        <v>9.2999999999999992E-3</v>
      </c>
      <c r="AX31" s="422">
        <v>9.2999999999999992E-3</v>
      </c>
      <c r="AY31" s="420"/>
    </row>
    <row r="32" spans="1:51" s="5" customFormat="1" ht="20.100000000000001" customHeight="1">
      <c r="A32" s="130" t="s">
        <v>241</v>
      </c>
      <c r="B32" s="582">
        <v>1030</v>
      </c>
      <c r="C32" s="141"/>
      <c r="D32" s="141"/>
      <c r="E32" s="141"/>
      <c r="F32" s="141">
        <f>G32+H32+I32+J32</f>
        <v>0</v>
      </c>
      <c r="G32" s="141"/>
      <c r="H32" s="141"/>
      <c r="I32" s="141"/>
      <c r="J32" s="141"/>
      <c r="K32" s="246"/>
      <c r="L32" s="587">
        <v>1030</v>
      </c>
      <c r="M32" s="426"/>
      <c r="N32" s="139"/>
      <c r="O32" s="246"/>
      <c r="P32" s="453">
        <f t="shared" si="1"/>
        <v>0</v>
      </c>
      <c r="Q32" s="112"/>
      <c r="R32" s="399">
        <v>1030</v>
      </c>
      <c r="S32" s="426"/>
      <c r="T32" s="141"/>
      <c r="U32" s="27"/>
      <c r="V32" s="139">
        <f t="shared" si="5"/>
        <v>0</v>
      </c>
      <c r="W32" s="112"/>
      <c r="X32" s="399">
        <v>1030</v>
      </c>
      <c r="Y32" s="426"/>
      <c r="Z32" s="141"/>
      <c r="AA32" s="506"/>
      <c r="AB32" s="494"/>
      <c r="AC32" s="141"/>
      <c r="AD32" s="246"/>
      <c r="AE32" s="246"/>
      <c r="AG32" s="236"/>
      <c r="AH32" s="497"/>
      <c r="AI32" s="497"/>
      <c r="AJ32" s="497"/>
      <c r="AK32" s="497"/>
      <c r="AL32" s="497"/>
      <c r="AM32" s="236"/>
      <c r="AN32" s="392"/>
      <c r="AO32" s="112"/>
      <c r="AQ32" s="375">
        <f>AU28*AQ31*100</f>
        <v>0</v>
      </c>
      <c r="AR32" s="375">
        <f>AS28*AR31*100</f>
        <v>2.94</v>
      </c>
      <c r="AS32" s="375">
        <f>AT28*AS31*100</f>
        <v>0</v>
      </c>
      <c r="AT32" s="375"/>
      <c r="AU32" s="375"/>
      <c r="AV32" s="375">
        <f>AU28*AV31*100</f>
        <v>0</v>
      </c>
      <c r="AW32" s="375">
        <f>AS28*AW31*100</f>
        <v>39.059999999999995</v>
      </c>
      <c r="AX32" s="375">
        <f>AT28*AX31*100</f>
        <v>0</v>
      </c>
      <c r="AY32" s="420"/>
    </row>
    <row r="33" spans="1:66" s="5" customFormat="1" ht="42" customHeight="1">
      <c r="A33" s="155" t="s">
        <v>94</v>
      </c>
      <c r="B33" s="136">
        <v>1040</v>
      </c>
      <c r="C33" s="137">
        <f>C10-C31-C32</f>
        <v>27035.5</v>
      </c>
      <c r="D33" s="137">
        <f t="shared" ref="D33:J33" si="12">D10-D31-D32</f>
        <v>38163.299999999996</v>
      </c>
      <c r="E33" s="137">
        <f>E10-E31-E32</f>
        <v>33528.199999999997</v>
      </c>
      <c r="F33" s="137">
        <f t="shared" si="12"/>
        <v>34223.5</v>
      </c>
      <c r="G33" s="137">
        <f t="shared" si="12"/>
        <v>9441.5</v>
      </c>
      <c r="H33" s="137">
        <f t="shared" si="12"/>
        <v>8170.4</v>
      </c>
      <c r="I33" s="137">
        <f t="shared" si="12"/>
        <v>8195.9</v>
      </c>
      <c r="J33" s="137">
        <f t="shared" si="12"/>
        <v>8415.7000000000007</v>
      </c>
      <c r="K33" s="246"/>
      <c r="L33" s="604">
        <v>1040</v>
      </c>
      <c r="M33" s="427">
        <f>M12+M14+M30+M24</f>
        <v>8506</v>
      </c>
      <c r="N33" s="139">
        <f>N12+N14+N30+N24</f>
        <v>7851.1</v>
      </c>
      <c r="O33" s="246"/>
      <c r="P33" s="453">
        <f t="shared" si="1"/>
        <v>8695.3000000000011</v>
      </c>
      <c r="Q33" s="112"/>
      <c r="R33" s="434">
        <v>1040</v>
      </c>
      <c r="S33" s="427">
        <f>S12+S14+S30+S24</f>
        <v>17991.5</v>
      </c>
      <c r="T33" s="427">
        <f>T12+T14+T30+T24</f>
        <v>16546.400000000001</v>
      </c>
      <c r="U33" s="440"/>
      <c r="V33" s="139">
        <f t="shared" si="5"/>
        <v>7778.3999999999978</v>
      </c>
      <c r="W33" s="112"/>
      <c r="X33" s="434">
        <v>1040</v>
      </c>
      <c r="Y33" s="427">
        <f>Y12+Y14+Y30+Y24</f>
        <v>27872</v>
      </c>
      <c r="Z33" s="137">
        <f t="shared" ref="Z33" si="13">Z10-Z31-Z32</f>
        <v>38163.299999999996</v>
      </c>
      <c r="AA33" s="506">
        <f>AA12+AA14+AA30+AA24</f>
        <v>24324.799999999999</v>
      </c>
      <c r="AB33" s="494"/>
      <c r="AC33" s="137">
        <f t="shared" ref="AC33" si="14">AC10-AC31-AC32</f>
        <v>33921.5</v>
      </c>
      <c r="AD33" s="246"/>
      <c r="AE33" s="246"/>
      <c r="AG33" s="236"/>
      <c r="AH33" s="497"/>
      <c r="AI33" s="497"/>
      <c r="AJ33" s="497"/>
      <c r="AK33" s="497"/>
      <c r="AL33" s="236"/>
      <c r="AM33" s="236"/>
      <c r="AN33" s="392"/>
      <c r="AO33" s="112"/>
      <c r="AQ33" s="424" t="s">
        <v>465</v>
      </c>
      <c r="AR33" s="16"/>
      <c r="AS33" s="16"/>
      <c r="AT33" s="16"/>
      <c r="AU33" s="240"/>
      <c r="AV33" s="425"/>
      <c r="AW33" s="16"/>
      <c r="AX33" s="240"/>
      <c r="AY33" s="240"/>
      <c r="AZ33" s="112"/>
      <c r="BA33" s="112"/>
      <c r="BB33" s="112"/>
      <c r="BC33" s="112"/>
      <c r="BD33" s="112"/>
    </row>
    <row r="34" spans="1:66" ht="37.5">
      <c r="A34" s="585" t="s">
        <v>109</v>
      </c>
      <c r="B34" s="138">
        <v>1050</v>
      </c>
      <c r="C34" s="229">
        <f>SUM(C35:C42)</f>
        <v>18652.7</v>
      </c>
      <c r="D34" s="229">
        <f t="shared" ref="D34:J34" si="15">SUM(D35:D42)</f>
        <v>30314.899999999998</v>
      </c>
      <c r="E34" s="229">
        <f t="shared" si="15"/>
        <v>25441</v>
      </c>
      <c r="F34" s="229">
        <f t="shared" si="15"/>
        <v>25231.1</v>
      </c>
      <c r="G34" s="229">
        <f t="shared" si="15"/>
        <v>7145.7999999999993</v>
      </c>
      <c r="H34" s="229">
        <f t="shared" si="15"/>
        <v>5943</v>
      </c>
      <c r="I34" s="229">
        <f t="shared" si="15"/>
        <v>5934.3</v>
      </c>
      <c r="J34" s="229">
        <f t="shared" si="15"/>
        <v>6207.9999999999991</v>
      </c>
      <c r="K34" s="247"/>
      <c r="L34" s="604">
        <v>1050</v>
      </c>
      <c r="M34" s="427">
        <f>M35+M36+M37+M38+M39+M42</f>
        <v>6723.2999999999993</v>
      </c>
      <c r="N34" s="139">
        <f>SUM(N35:N42)</f>
        <v>5902.1</v>
      </c>
      <c r="O34" s="246"/>
      <c r="P34" s="453">
        <f t="shared" si="1"/>
        <v>6780.2000000000007</v>
      </c>
      <c r="Q34" s="114"/>
      <c r="R34" s="434">
        <v>1050</v>
      </c>
      <c r="S34" s="427">
        <f>S35+S36+S37+S38+S39+S42</f>
        <v>14191.2</v>
      </c>
      <c r="T34" s="427">
        <f>T35+T36+T37+T38+T39+T42</f>
        <v>12682.300000000001</v>
      </c>
      <c r="U34" s="440"/>
      <c r="V34" s="139">
        <f t="shared" si="5"/>
        <v>4594.0999999999967</v>
      </c>
      <c r="W34" s="114"/>
      <c r="X34" s="434">
        <v>1050</v>
      </c>
      <c r="Y34" s="427">
        <f>Y35+Y36+Y37+Y38+Y39+Y42+Y40</f>
        <v>22056.400000000001</v>
      </c>
      <c r="Z34" s="229">
        <f t="shared" ref="Z34" si="16">SUM(Z35:Z42)</f>
        <v>30314.899999999998</v>
      </c>
      <c r="AA34" s="506">
        <f>AA35+AA36+AA37+AA38+AA39+AA42</f>
        <v>17276.399999999998</v>
      </c>
      <c r="AB34" s="487"/>
      <c r="AC34" s="229">
        <f t="shared" ref="AC34" si="17">SUM(AC35:AC42)</f>
        <v>25839.319089145985</v>
      </c>
      <c r="AD34" s="247"/>
      <c r="AE34" s="247"/>
      <c r="AG34" s="114"/>
      <c r="AH34" s="114"/>
      <c r="AI34" s="114"/>
      <c r="AJ34" s="114"/>
      <c r="AK34" s="114"/>
      <c r="AL34" s="114"/>
      <c r="AM34" s="114"/>
      <c r="AN34" s="254"/>
      <c r="AO34" s="114"/>
      <c r="AW34" s="112"/>
      <c r="AX34" s="112"/>
      <c r="AY34" s="492"/>
      <c r="AZ34" s="492"/>
      <c r="BA34" s="492"/>
      <c r="BB34" s="492"/>
      <c r="BC34" s="492"/>
      <c r="BD34" s="493"/>
      <c r="BE34" s="145"/>
    </row>
    <row r="35" spans="1:66" s="2" customFormat="1" ht="22.5">
      <c r="A35" s="8" t="s">
        <v>356</v>
      </c>
      <c r="B35" s="9">
        <v>1051</v>
      </c>
      <c r="C35" s="103">
        <f>985.7+2261.8</f>
        <v>3247.5</v>
      </c>
      <c r="D35" s="146">
        <v>2991</v>
      </c>
      <c r="E35" s="146">
        <f>1500+2.3</f>
        <v>1502.3</v>
      </c>
      <c r="F35" s="141">
        <f t="shared" ref="F35:F41" si="18">G35+H35+I35+J35</f>
        <v>2512.9</v>
      </c>
      <c r="G35" s="264">
        <f>(350+G21+G19)-0.1-10.7</f>
        <v>620.19999999999993</v>
      </c>
      <c r="H35" s="264">
        <f>350+H21+H19</f>
        <v>631</v>
      </c>
      <c r="I35" s="264">
        <f>350+I21+I19</f>
        <v>630.80000000000007</v>
      </c>
      <c r="J35" s="264">
        <f>350+J21+J19+0.1</f>
        <v>630.90000000000009</v>
      </c>
      <c r="K35" s="442"/>
      <c r="L35" s="605">
        <v>1051</v>
      </c>
      <c r="M35" s="244">
        <v>748.1</v>
      </c>
      <c r="N35" s="462">
        <f>(691.9-610-0.9-0.2)+214.7</f>
        <v>295.49999999999994</v>
      </c>
      <c r="O35" s="442"/>
      <c r="P35" s="453">
        <f t="shared" si="1"/>
        <v>295.50000000000006</v>
      </c>
      <c r="Q35" s="115"/>
      <c r="R35" s="150">
        <v>1051</v>
      </c>
      <c r="S35" s="244">
        <v>1506.1</v>
      </c>
      <c r="T35" s="147">
        <f>599.6-8.6</f>
        <v>591</v>
      </c>
      <c r="U35" s="441"/>
      <c r="V35" s="139">
        <f t="shared" si="5"/>
        <v>191.39999999999998</v>
      </c>
      <c r="W35" s="115"/>
      <c r="X35" s="150">
        <v>1051</v>
      </c>
      <c r="Y35" s="244">
        <v>2244.1</v>
      </c>
      <c r="Z35" s="146">
        <v>2991</v>
      </c>
      <c r="AA35" s="508">
        <f>776.9-16+14.9+6.6</f>
        <v>782.4</v>
      </c>
      <c r="AB35" s="487"/>
      <c r="AC35" s="258">
        <f>1500-4.4</f>
        <v>1495.6</v>
      </c>
      <c r="AD35" s="445"/>
      <c r="AE35" s="445"/>
      <c r="AG35" s="112"/>
      <c r="AH35" s="112"/>
      <c r="AI35" s="492"/>
      <c r="AJ35" s="492"/>
      <c r="AK35" s="492"/>
      <c r="AL35" s="492"/>
      <c r="AM35" s="492"/>
      <c r="AN35" s="493"/>
      <c r="AO35" s="236"/>
      <c r="AW35" s="112"/>
      <c r="AX35" s="112"/>
      <c r="AY35" s="112"/>
      <c r="AZ35" s="112"/>
      <c r="BA35" s="112"/>
      <c r="BB35" s="112"/>
      <c r="BC35" s="112"/>
      <c r="BD35" s="496"/>
      <c r="BE35" s="145"/>
      <c r="BG35" s="241"/>
      <c r="BH35" s="241"/>
      <c r="BI35" s="241"/>
      <c r="BJ35" s="241"/>
      <c r="BK35" s="241"/>
      <c r="BL35" s="241"/>
      <c r="BM35" s="241"/>
      <c r="BN35" s="241"/>
    </row>
    <row r="36" spans="1:66" s="2" customFormat="1" ht="20.100000000000001" customHeight="1">
      <c r="A36" s="8" t="s">
        <v>53</v>
      </c>
      <c r="B36" s="9">
        <v>1052</v>
      </c>
      <c r="C36" s="103"/>
      <c r="D36" s="146"/>
      <c r="E36" s="146"/>
      <c r="F36" s="141">
        <f t="shared" si="18"/>
        <v>0</v>
      </c>
      <c r="G36" s="264"/>
      <c r="H36" s="264"/>
      <c r="I36" s="264"/>
      <c r="J36" s="264"/>
      <c r="K36" s="442"/>
      <c r="L36" s="605">
        <v>1052</v>
      </c>
      <c r="M36" s="244"/>
      <c r="N36" s="462"/>
      <c r="O36" s="442"/>
      <c r="P36" s="453">
        <f t="shared" si="1"/>
        <v>0</v>
      </c>
      <c r="Q36" s="115"/>
      <c r="R36" s="150">
        <v>1052</v>
      </c>
      <c r="S36" s="244"/>
      <c r="T36" s="264"/>
      <c r="U36" s="442"/>
      <c r="V36" s="139">
        <f t="shared" si="5"/>
        <v>0</v>
      </c>
      <c r="W36" s="115"/>
      <c r="X36" s="150">
        <v>1052</v>
      </c>
      <c r="Y36" s="244"/>
      <c r="Z36" s="146"/>
      <c r="AA36" s="508"/>
      <c r="AB36" s="487"/>
      <c r="AC36" s="146"/>
      <c r="AD36" s="445"/>
      <c r="AE36" s="445"/>
      <c r="AG36" s="112"/>
      <c r="AH36" s="112"/>
      <c r="AI36" s="112"/>
      <c r="AJ36" s="112"/>
      <c r="AK36" s="112"/>
      <c r="AL36" s="112"/>
      <c r="AM36" s="112"/>
      <c r="AN36" s="496"/>
      <c r="AO36" s="236"/>
      <c r="AW36" s="497"/>
      <c r="AX36" s="237"/>
      <c r="AY36" s="237"/>
      <c r="AZ36" s="237"/>
      <c r="BA36" s="237"/>
      <c r="BB36" s="236"/>
      <c r="BC36" s="236"/>
      <c r="BD36" s="392"/>
      <c r="BE36" s="145"/>
    </row>
    <row r="37" spans="1:66" s="115" customFormat="1" ht="20.100000000000001" customHeight="1">
      <c r="A37" s="351" t="s">
        <v>52</v>
      </c>
      <c r="B37" s="352">
        <v>1053</v>
      </c>
      <c r="C37" s="244">
        <v>163.4</v>
      </c>
      <c r="D37" s="258">
        <v>224.6</v>
      </c>
      <c r="E37" s="258">
        <v>102.8</v>
      </c>
      <c r="F37" s="238">
        <f t="shared" si="18"/>
        <v>134.39999999999998</v>
      </c>
      <c r="G37" s="264">
        <v>47.4</v>
      </c>
      <c r="H37" s="264">
        <v>18.600000000000001</v>
      </c>
      <c r="I37" s="264">
        <v>18.600000000000001</v>
      </c>
      <c r="J37" s="264">
        <v>49.8</v>
      </c>
      <c r="K37" s="442"/>
      <c r="L37" s="605">
        <v>1053</v>
      </c>
      <c r="M37" s="244">
        <v>86.3</v>
      </c>
      <c r="N37" s="462">
        <v>20.8</v>
      </c>
      <c r="O37" s="442"/>
      <c r="P37" s="453">
        <f t="shared" si="1"/>
        <v>26.900000000000002</v>
      </c>
      <c r="R37" s="150">
        <v>1053</v>
      </c>
      <c r="S37" s="244">
        <v>119.1</v>
      </c>
      <c r="T37" s="264">
        <v>47.7</v>
      </c>
      <c r="U37" s="442"/>
      <c r="V37" s="139">
        <f t="shared" si="5"/>
        <v>14.399999999999999</v>
      </c>
      <c r="X37" s="150">
        <v>1053</v>
      </c>
      <c r="Y37" s="244">
        <v>138.30000000000001</v>
      </c>
      <c r="Z37" s="258">
        <v>224.6</v>
      </c>
      <c r="AA37" s="508">
        <v>62.1</v>
      </c>
      <c r="AB37" s="487"/>
      <c r="AC37" s="258">
        <f>224.6-31.2</f>
        <v>193.4</v>
      </c>
      <c r="AD37" s="445"/>
      <c r="AE37" s="445"/>
      <c r="AG37" s="497"/>
      <c r="AH37" s="237"/>
      <c r="AI37" s="237"/>
      <c r="AJ37" s="237"/>
      <c r="AK37" s="237"/>
      <c r="AL37" s="236"/>
      <c r="AM37" s="236"/>
      <c r="AN37" s="392"/>
      <c r="AO37" s="236"/>
      <c r="AW37" s="112"/>
      <c r="AX37" s="112"/>
      <c r="AY37" s="112"/>
      <c r="AZ37" s="112"/>
      <c r="BA37" s="112"/>
      <c r="BB37" s="112"/>
      <c r="BC37" s="112"/>
      <c r="BD37" s="496"/>
      <c r="BE37" s="5"/>
    </row>
    <row r="38" spans="1:66" s="2" customFormat="1" ht="20.100000000000001" customHeight="1">
      <c r="A38" s="8" t="s">
        <v>27</v>
      </c>
      <c r="B38" s="9">
        <v>1054</v>
      </c>
      <c r="C38" s="244">
        <v>9376.1</v>
      </c>
      <c r="D38" s="244">
        <v>19310.599999999999</v>
      </c>
      <c r="E38" s="244">
        <v>15539.9</v>
      </c>
      <c r="F38" s="238">
        <f t="shared" si="18"/>
        <v>16959.599999999999</v>
      </c>
      <c r="G38" s="264">
        <v>4152.3</v>
      </c>
      <c r="H38" s="264">
        <v>4240</v>
      </c>
      <c r="I38" s="264">
        <v>4242.6000000000004</v>
      </c>
      <c r="J38" s="264">
        <v>4324.7</v>
      </c>
      <c r="K38" s="442"/>
      <c r="L38" s="605">
        <v>1054</v>
      </c>
      <c r="M38" s="244">
        <v>4195.3999999999996</v>
      </c>
      <c r="N38" s="462">
        <f>3775.6+45.9</f>
        <v>3821.5</v>
      </c>
      <c r="O38" s="442"/>
      <c r="P38" s="453">
        <f t="shared" si="1"/>
        <v>4297</v>
      </c>
      <c r="Q38" s="115"/>
      <c r="R38" s="150">
        <v>1054</v>
      </c>
      <c r="S38" s="244">
        <v>9233.7999999999993</v>
      </c>
      <c r="T38" s="264">
        <v>8118.5</v>
      </c>
      <c r="U38" s="442"/>
      <c r="V38" s="139">
        <f t="shared" si="5"/>
        <v>2852</v>
      </c>
      <c r="W38" s="115"/>
      <c r="X38" s="150">
        <v>1054</v>
      </c>
      <c r="Y38" s="244">
        <v>14272.2</v>
      </c>
      <c r="Z38" s="244">
        <v>19310.599999999999</v>
      </c>
      <c r="AA38" s="508">
        <v>10970.5</v>
      </c>
      <c r="AB38" s="487"/>
      <c r="AC38" s="389">
        <f>AL86</f>
        <v>15539.881356413167</v>
      </c>
      <c r="AD38" s="248"/>
      <c r="AE38" s="248"/>
      <c r="AG38" s="112"/>
      <c r="AH38" s="112"/>
      <c r="AI38" s="112"/>
      <c r="AJ38" s="112"/>
      <c r="AK38" s="112"/>
      <c r="AL38" s="112"/>
      <c r="AM38" s="112"/>
      <c r="AN38" s="496"/>
      <c r="AO38" s="112"/>
      <c r="AW38" s="236"/>
      <c r="AX38" s="497"/>
      <c r="AY38" s="497"/>
      <c r="AZ38" s="497"/>
      <c r="BA38" s="497"/>
      <c r="BB38" s="497"/>
      <c r="BC38" s="497"/>
      <c r="BD38" s="392"/>
      <c r="BE38" s="5"/>
    </row>
    <row r="39" spans="1:66" s="2" customFormat="1" ht="20.100000000000001" customHeight="1">
      <c r="A39" s="8" t="s">
        <v>28</v>
      </c>
      <c r="B39" s="9">
        <v>1055</v>
      </c>
      <c r="C39" s="244">
        <v>1754.7</v>
      </c>
      <c r="D39" s="244">
        <v>3675.5</v>
      </c>
      <c r="E39" s="244">
        <v>2937.1</v>
      </c>
      <c r="F39" s="238">
        <f t="shared" si="18"/>
        <v>3216.6000000000004</v>
      </c>
      <c r="G39" s="264">
        <v>787.5</v>
      </c>
      <c r="H39" s="264">
        <v>804.2</v>
      </c>
      <c r="I39" s="264">
        <v>804.7</v>
      </c>
      <c r="J39" s="264">
        <v>820.2</v>
      </c>
      <c r="K39" s="442"/>
      <c r="L39" s="605">
        <v>1055</v>
      </c>
      <c r="M39" s="244">
        <v>835.1</v>
      </c>
      <c r="N39" s="463">
        <f>697.4+7.5</f>
        <v>704.9</v>
      </c>
      <c r="O39" s="443"/>
      <c r="P39" s="453">
        <f t="shared" si="1"/>
        <v>846.69999999999993</v>
      </c>
      <c r="Q39" s="115"/>
      <c r="R39" s="150">
        <v>1055</v>
      </c>
      <c r="S39" s="244">
        <v>1781.9</v>
      </c>
      <c r="T39" s="264">
        <v>1551.6</v>
      </c>
      <c r="U39" s="442"/>
      <c r="V39" s="139">
        <f t="shared" si="5"/>
        <v>448.30000000000018</v>
      </c>
      <c r="W39" s="115"/>
      <c r="X39" s="150">
        <v>1055</v>
      </c>
      <c r="Y39" s="244">
        <v>2728.7</v>
      </c>
      <c r="Z39" s="244">
        <v>3675.5</v>
      </c>
      <c r="AA39" s="508">
        <v>1999.9</v>
      </c>
      <c r="AB39" s="487"/>
      <c r="AC39" s="389">
        <f>AL89</f>
        <v>2937.1377327328173</v>
      </c>
      <c r="AD39" s="248"/>
      <c r="AE39" s="248"/>
      <c r="AG39" s="236"/>
      <c r="AH39" s="497"/>
      <c r="AI39" s="497"/>
      <c r="AJ39" s="497"/>
      <c r="AK39" s="497"/>
      <c r="AL39" s="497"/>
      <c r="AM39" s="497"/>
      <c r="AN39" s="392"/>
      <c r="AO39" s="112"/>
      <c r="AW39" s="236"/>
      <c r="AX39" s="497"/>
      <c r="AY39" s="497"/>
      <c r="AZ39" s="497"/>
      <c r="BA39" s="497"/>
      <c r="BB39" s="497"/>
      <c r="BC39" s="236"/>
      <c r="BD39" s="392"/>
      <c r="BE39" s="5"/>
    </row>
    <row r="40" spans="1:66" s="2" customFormat="1" ht="42.75" customHeight="1">
      <c r="A40" s="8" t="s">
        <v>191</v>
      </c>
      <c r="B40" s="9">
        <v>1056</v>
      </c>
      <c r="C40" s="103"/>
      <c r="D40" s="244">
        <v>808.4</v>
      </c>
      <c r="E40" s="238"/>
      <c r="F40" s="238">
        <f t="shared" si="18"/>
        <v>0</v>
      </c>
      <c r="G40" s="264"/>
      <c r="H40" s="264"/>
      <c r="I40" s="264"/>
      <c r="J40" s="264"/>
      <c r="K40" s="442"/>
      <c r="L40" s="605">
        <v>1056</v>
      </c>
      <c r="M40" s="244">
        <v>0</v>
      </c>
      <c r="N40" s="463"/>
      <c r="O40" s="443"/>
      <c r="P40" s="453">
        <f t="shared" si="1"/>
        <v>0</v>
      </c>
      <c r="Q40" s="115"/>
      <c r="R40" s="150">
        <v>1056</v>
      </c>
      <c r="S40" s="244"/>
      <c r="T40" s="428"/>
      <c r="U40" s="443"/>
      <c r="V40" s="139">
        <f t="shared" si="5"/>
        <v>0</v>
      </c>
      <c r="W40" s="115"/>
      <c r="X40" s="150">
        <v>1056</v>
      </c>
      <c r="Y40" s="244">
        <v>395.3</v>
      </c>
      <c r="Z40" s="244">
        <v>808.4</v>
      </c>
      <c r="AA40" s="509"/>
      <c r="AB40" s="487"/>
      <c r="AC40" s="244"/>
      <c r="AD40" s="248"/>
      <c r="AE40" s="248"/>
      <c r="AG40" s="236"/>
      <c r="AH40" s="497"/>
      <c r="AI40" s="497"/>
      <c r="AJ40" s="497"/>
      <c r="AK40" s="497"/>
      <c r="AL40" s="497"/>
      <c r="AM40" s="236"/>
      <c r="AN40" s="392"/>
      <c r="AO40" s="112"/>
      <c r="AW40" s="236"/>
      <c r="AX40" s="497"/>
      <c r="AY40" s="497"/>
      <c r="AZ40" s="497"/>
      <c r="BA40" s="497"/>
      <c r="BB40" s="236"/>
      <c r="BC40" s="236"/>
      <c r="BD40" s="392"/>
      <c r="BE40" s="5"/>
    </row>
    <row r="41" spans="1:66" s="2" customFormat="1" ht="20.100000000000001" customHeight="1">
      <c r="A41" s="8" t="s">
        <v>51</v>
      </c>
      <c r="B41" s="9">
        <v>1057</v>
      </c>
      <c r="C41" s="103"/>
      <c r="D41" s="103"/>
      <c r="E41" s="103"/>
      <c r="F41" s="141">
        <f t="shared" si="18"/>
        <v>0</v>
      </c>
      <c r="G41" s="264"/>
      <c r="H41" s="264"/>
      <c r="I41" s="264"/>
      <c r="J41" s="264"/>
      <c r="K41" s="442"/>
      <c r="L41" s="605">
        <v>1057</v>
      </c>
      <c r="M41" s="238"/>
      <c r="N41" s="463"/>
      <c r="O41" s="443"/>
      <c r="P41" s="453">
        <f t="shared" si="1"/>
        <v>0</v>
      </c>
      <c r="Q41" s="115"/>
      <c r="R41" s="150">
        <v>1057</v>
      </c>
      <c r="S41" s="238"/>
      <c r="T41" s="428"/>
      <c r="U41" s="443"/>
      <c r="V41" s="139">
        <f t="shared" si="5"/>
        <v>0</v>
      </c>
      <c r="W41" s="115"/>
      <c r="X41" s="150">
        <v>1057</v>
      </c>
      <c r="Y41" s="238"/>
      <c r="Z41" s="103"/>
      <c r="AA41" s="509"/>
      <c r="AB41" s="487"/>
      <c r="AC41" s="103"/>
      <c r="AD41" s="248"/>
      <c r="AE41" s="248"/>
      <c r="AG41" s="236"/>
      <c r="AH41" s="497"/>
      <c r="AI41" s="497"/>
      <c r="AJ41" s="497"/>
      <c r="AK41" s="497"/>
      <c r="AL41" s="236"/>
      <c r="AM41" s="236"/>
      <c r="AN41" s="392"/>
      <c r="AO41" s="112"/>
      <c r="AX41" s="241"/>
    </row>
    <row r="42" spans="1:66" s="17" customFormat="1" ht="20.100000000000001" customHeight="1">
      <c r="A42" s="132" t="s">
        <v>107</v>
      </c>
      <c r="B42" s="133">
        <v>1058</v>
      </c>
      <c r="C42" s="135">
        <f>(C43+C47+C48)</f>
        <v>4111</v>
      </c>
      <c r="D42" s="135">
        <f>(D43+D47+D48)</f>
        <v>3304.7999999999997</v>
      </c>
      <c r="E42" s="135">
        <f t="shared" ref="E42:J42" si="19">(E43+E47+E48)</f>
        <v>5358.9000000000005</v>
      </c>
      <c r="F42" s="135">
        <f t="shared" si="19"/>
        <v>2407.6000000000004</v>
      </c>
      <c r="G42" s="135">
        <f>(G43+G47+G48)</f>
        <v>1538.4</v>
      </c>
      <c r="H42" s="135">
        <f t="shared" si="19"/>
        <v>249.2</v>
      </c>
      <c r="I42" s="135">
        <f t="shared" si="19"/>
        <v>237.6</v>
      </c>
      <c r="J42" s="135">
        <f t="shared" si="19"/>
        <v>382.4</v>
      </c>
      <c r="K42" s="246"/>
      <c r="L42" s="605">
        <v>1058</v>
      </c>
      <c r="M42" s="429">
        <f>(M43+M48)</f>
        <v>858.40000000000009</v>
      </c>
      <c r="N42" s="464">
        <f>(N43+N48)-N81</f>
        <v>1059.4000000000001</v>
      </c>
      <c r="O42" s="448"/>
      <c r="P42" s="453">
        <f t="shared" ref="P42:P73" si="20">T42-N42</f>
        <v>1314.1</v>
      </c>
      <c r="Q42" s="405"/>
      <c r="R42" s="150">
        <v>1058</v>
      </c>
      <c r="S42" s="429">
        <f>(S43+S48)</f>
        <v>1550.3000000000002</v>
      </c>
      <c r="T42" s="429">
        <f>(T43+T48)</f>
        <v>2373.5</v>
      </c>
      <c r="U42" s="444"/>
      <c r="V42" s="139">
        <f t="shared" si="5"/>
        <v>1087.9999999999995</v>
      </c>
      <c r="W42" s="405"/>
      <c r="X42" s="150">
        <v>1058</v>
      </c>
      <c r="Y42" s="429">
        <f>(Y43+Y48)</f>
        <v>2277.7999999999997</v>
      </c>
      <c r="Z42" s="135">
        <f>(Z43+Z47+Z48)</f>
        <v>3304.7999999999997</v>
      </c>
      <c r="AA42" s="510">
        <f>(AA43+AA48)</f>
        <v>3461.4999999999995</v>
      </c>
      <c r="AB42" s="494"/>
      <c r="AC42" s="135">
        <f>(AC43+AC47+AC48)</f>
        <v>5673.3</v>
      </c>
      <c r="AD42" s="246"/>
      <c r="AE42" s="246"/>
      <c r="AG42" s="112"/>
      <c r="AH42" s="112"/>
      <c r="AI42" s="112"/>
      <c r="AJ42" s="112"/>
      <c r="AK42" s="112"/>
      <c r="AL42" s="112"/>
      <c r="AM42" s="112"/>
      <c r="AN42" s="496"/>
      <c r="AO42" s="112"/>
      <c r="AX42" s="459"/>
    </row>
    <row r="43" spans="1:66" s="2" customFormat="1" ht="20.100000000000001" customHeight="1">
      <c r="A43" s="166" t="s">
        <v>300</v>
      </c>
      <c r="B43" s="159" t="s">
        <v>304</v>
      </c>
      <c r="C43" s="160">
        <f>C45+C46</f>
        <v>442</v>
      </c>
      <c r="D43" s="160">
        <f t="shared" ref="D43:J43" si="21">D45+D46</f>
        <v>834.1</v>
      </c>
      <c r="E43" s="160">
        <f t="shared" si="21"/>
        <v>478.29999999999995</v>
      </c>
      <c r="F43" s="160">
        <f t="shared" si="21"/>
        <v>432.20000000000005</v>
      </c>
      <c r="G43" s="160">
        <f t="shared" si="21"/>
        <v>207</v>
      </c>
      <c r="H43" s="160">
        <f t="shared" si="21"/>
        <v>31.2</v>
      </c>
      <c r="I43" s="160">
        <f t="shared" si="21"/>
        <v>24.6</v>
      </c>
      <c r="J43" s="160">
        <f t="shared" si="21"/>
        <v>169.4</v>
      </c>
      <c r="K43" s="248"/>
      <c r="L43" s="606" t="s">
        <v>304</v>
      </c>
      <c r="M43" s="141">
        <f>M45+M46</f>
        <v>248.1</v>
      </c>
      <c r="N43" s="466">
        <f>N45+N46</f>
        <v>178.8</v>
      </c>
      <c r="O43" s="461"/>
      <c r="P43" s="453">
        <f t="shared" si="20"/>
        <v>60.099999999999994</v>
      </c>
      <c r="Q43" s="115"/>
      <c r="R43" s="399" t="s">
        <v>304</v>
      </c>
      <c r="S43" s="141">
        <f>S45+S46</f>
        <v>330.1</v>
      </c>
      <c r="T43" s="141">
        <f>T45+T46</f>
        <v>238.9</v>
      </c>
      <c r="U43" s="27"/>
      <c r="V43" s="139">
        <f t="shared" si="5"/>
        <v>11.799999999999983</v>
      </c>
      <c r="W43" s="115"/>
      <c r="X43" s="399" t="s">
        <v>304</v>
      </c>
      <c r="Y43" s="141">
        <f>Y45+Y46</f>
        <v>418.4</v>
      </c>
      <c r="Z43" s="160">
        <f t="shared" ref="Z43" si="22">Z45+Z46</f>
        <v>834.1</v>
      </c>
      <c r="AA43" s="506">
        <f>AA45+AA46</f>
        <v>250.7</v>
      </c>
      <c r="AB43" s="487"/>
      <c r="AC43" s="160">
        <f t="shared" ref="AC43" si="23">AC45+AC46</f>
        <v>792.69999999999993</v>
      </c>
      <c r="AD43" s="248"/>
      <c r="AE43" s="248"/>
      <c r="AG43" s="112"/>
      <c r="AH43" s="112"/>
      <c r="AI43" s="492"/>
      <c r="AJ43" s="492"/>
      <c r="AK43" s="492"/>
      <c r="AL43" s="492"/>
      <c r="AM43" s="492"/>
      <c r="AN43" s="493"/>
      <c r="AO43" s="236"/>
      <c r="AX43" s="241"/>
    </row>
    <row r="44" spans="1:66" s="177" customFormat="1" ht="20.100000000000001" customHeight="1">
      <c r="A44" s="108" t="s">
        <v>301</v>
      </c>
      <c r="B44" s="173"/>
      <c r="C44" s="131"/>
      <c r="D44" s="131"/>
      <c r="E44" s="131"/>
      <c r="F44" s="131"/>
      <c r="G44" s="179"/>
      <c r="H44" s="179"/>
      <c r="I44" s="179"/>
      <c r="J44" s="179"/>
      <c r="K44" s="447"/>
      <c r="L44" s="605"/>
      <c r="M44" s="103"/>
      <c r="N44" s="463"/>
      <c r="O44" s="443"/>
      <c r="P44" s="453">
        <f t="shared" si="20"/>
        <v>0</v>
      </c>
      <c r="Q44" s="345"/>
      <c r="R44" s="150"/>
      <c r="S44" s="103"/>
      <c r="T44" s="264"/>
      <c r="U44" s="442"/>
      <c r="V44" s="139">
        <f t="shared" si="5"/>
        <v>0</v>
      </c>
      <c r="W44" s="345"/>
      <c r="X44" s="150"/>
      <c r="Y44" s="103"/>
      <c r="Z44" s="131"/>
      <c r="AA44" s="508"/>
      <c r="AB44" s="517"/>
      <c r="AC44" s="131"/>
      <c r="AD44" s="237"/>
      <c r="AE44" s="237"/>
      <c r="AG44" s="112"/>
      <c r="AH44" s="112"/>
      <c r="AI44" s="112"/>
      <c r="AJ44" s="112"/>
      <c r="AK44" s="112"/>
      <c r="AL44" s="112"/>
      <c r="AM44" s="112"/>
      <c r="AN44" s="496"/>
      <c r="AO44" s="236"/>
      <c r="AX44" s="366"/>
    </row>
    <row r="45" spans="1:66" s="177" customFormat="1" ht="20.100000000000001" customHeight="1">
      <c r="A45" s="108" t="s">
        <v>302</v>
      </c>
      <c r="B45" s="173" t="s">
        <v>306</v>
      </c>
      <c r="C45" s="230">
        <v>418.6</v>
      </c>
      <c r="D45" s="230">
        <v>761.4</v>
      </c>
      <c r="E45" s="131">
        <v>447.4</v>
      </c>
      <c r="F45" s="230">
        <f>G45+H45+I45+J45</f>
        <v>391.6</v>
      </c>
      <c r="G45" s="263">
        <v>195.8</v>
      </c>
      <c r="H45" s="263">
        <v>21.9</v>
      </c>
      <c r="I45" s="263">
        <v>15.3</v>
      </c>
      <c r="J45" s="263">
        <v>158.6</v>
      </c>
      <c r="K45" s="447"/>
      <c r="L45" s="606" t="s">
        <v>306</v>
      </c>
      <c r="M45" s="244">
        <v>230</v>
      </c>
      <c r="N45" s="463">
        <f>173.4</f>
        <v>173.4</v>
      </c>
      <c r="O45" s="443"/>
      <c r="P45" s="453">
        <f t="shared" si="20"/>
        <v>52.599999999999994</v>
      </c>
      <c r="Q45" s="345"/>
      <c r="R45" s="399" t="s">
        <v>306</v>
      </c>
      <c r="S45" s="244">
        <v>293.8</v>
      </c>
      <c r="T45" s="264">
        <v>226</v>
      </c>
      <c r="U45" s="442"/>
      <c r="V45" s="139">
        <f t="shared" si="5"/>
        <v>4.5</v>
      </c>
      <c r="W45" s="345"/>
      <c r="X45" s="399" t="s">
        <v>306</v>
      </c>
      <c r="Y45" s="244">
        <v>363.9</v>
      </c>
      <c r="Z45" s="230">
        <v>761.4</v>
      </c>
      <c r="AA45" s="508">
        <v>230.5</v>
      </c>
      <c r="AB45" s="517"/>
      <c r="AC45" s="230">
        <f>761.4-39.1</f>
        <v>722.3</v>
      </c>
      <c r="AD45" s="237"/>
      <c r="AE45" s="237"/>
      <c r="AG45" s="497"/>
      <c r="AH45" s="237"/>
      <c r="AI45" s="237"/>
      <c r="AJ45" s="237"/>
      <c r="AK45" s="237"/>
      <c r="AL45" s="236"/>
      <c r="AM45" s="236"/>
      <c r="AN45" s="392"/>
      <c r="AO45" s="236"/>
      <c r="AX45" s="366"/>
    </row>
    <row r="46" spans="1:66" s="177" customFormat="1" ht="20.100000000000001" customHeight="1">
      <c r="A46" s="108" t="s">
        <v>303</v>
      </c>
      <c r="B46" s="173" t="s">
        <v>307</v>
      </c>
      <c r="C46" s="230">
        <v>23.4</v>
      </c>
      <c r="D46" s="230">
        <v>72.7</v>
      </c>
      <c r="E46" s="131">
        <v>30.9</v>
      </c>
      <c r="F46" s="230">
        <f>G46+H46+I46+J46</f>
        <v>40.6</v>
      </c>
      <c r="G46" s="263">
        <v>11.2</v>
      </c>
      <c r="H46" s="263">
        <v>9.3000000000000007</v>
      </c>
      <c r="I46" s="263">
        <v>9.3000000000000007</v>
      </c>
      <c r="J46" s="263">
        <v>10.8</v>
      </c>
      <c r="K46" s="447"/>
      <c r="L46" s="606" t="s">
        <v>307</v>
      </c>
      <c r="M46" s="244">
        <v>18.100000000000001</v>
      </c>
      <c r="N46" s="463">
        <v>5.4</v>
      </c>
      <c r="O46" s="443"/>
      <c r="P46" s="453">
        <f t="shared" si="20"/>
        <v>7.5</v>
      </c>
      <c r="Q46" s="345"/>
      <c r="R46" s="399" t="s">
        <v>307</v>
      </c>
      <c r="S46" s="244">
        <v>36.299999999999997</v>
      </c>
      <c r="T46" s="264">
        <v>12.9</v>
      </c>
      <c r="U46" s="442"/>
      <c r="V46" s="139">
        <f t="shared" si="5"/>
        <v>7.2999999999999989</v>
      </c>
      <c r="W46" s="345"/>
      <c r="X46" s="399" t="s">
        <v>307</v>
      </c>
      <c r="Y46" s="244">
        <v>54.5</v>
      </c>
      <c r="Z46" s="230">
        <v>72.7</v>
      </c>
      <c r="AA46" s="508">
        <v>20.2</v>
      </c>
      <c r="AB46" s="517"/>
      <c r="AC46" s="230">
        <f>72.7-2.3</f>
        <v>70.400000000000006</v>
      </c>
      <c r="AD46" s="237"/>
      <c r="AE46" s="237"/>
      <c r="AG46" s="112"/>
      <c r="AH46" s="112"/>
      <c r="AI46" s="112"/>
      <c r="AJ46" s="112"/>
      <c r="AK46" s="112"/>
      <c r="AL46" s="112"/>
      <c r="AM46" s="112"/>
      <c r="AN46" s="496"/>
      <c r="AO46" s="112"/>
      <c r="AX46" s="366"/>
    </row>
    <row r="47" spans="1:66" s="177" customFormat="1" ht="20.100000000000001" customHeight="1">
      <c r="A47" s="108" t="s">
        <v>385</v>
      </c>
      <c r="B47" s="173" t="s">
        <v>305</v>
      </c>
      <c r="C47" s="131"/>
      <c r="D47" s="131"/>
      <c r="E47" s="131"/>
      <c r="F47" s="131">
        <f>G47+H47+I47+J47</f>
        <v>0</v>
      </c>
      <c r="G47" s="179"/>
      <c r="H47" s="179"/>
      <c r="I47" s="179"/>
      <c r="J47" s="179"/>
      <c r="K47" s="447"/>
      <c r="L47" s="606" t="s">
        <v>305</v>
      </c>
      <c r="M47" s="244"/>
      <c r="N47" s="463"/>
      <c r="O47" s="443"/>
      <c r="P47" s="453">
        <f t="shared" si="20"/>
        <v>0</v>
      </c>
      <c r="Q47" s="345"/>
      <c r="R47" s="399" t="s">
        <v>305</v>
      </c>
      <c r="S47" s="244"/>
      <c r="T47" s="428"/>
      <c r="U47" s="443"/>
      <c r="V47" s="139">
        <f t="shared" si="5"/>
        <v>0</v>
      </c>
      <c r="W47" s="345"/>
      <c r="X47" s="399" t="s">
        <v>305</v>
      </c>
      <c r="Y47" s="244"/>
      <c r="Z47" s="131"/>
      <c r="AA47" s="509"/>
      <c r="AB47" s="517"/>
      <c r="AC47" s="131"/>
      <c r="AD47" s="237"/>
      <c r="AE47" s="237"/>
      <c r="AG47" s="236"/>
      <c r="AH47" s="497"/>
      <c r="AI47" s="497"/>
      <c r="AJ47" s="497"/>
      <c r="AK47" s="497"/>
      <c r="AL47" s="497"/>
      <c r="AM47" s="497"/>
      <c r="AN47" s="392"/>
      <c r="AO47" s="112"/>
      <c r="AX47" s="366"/>
    </row>
    <row r="48" spans="1:66" s="2" customFormat="1" ht="20.100000000000001" customHeight="1">
      <c r="A48" s="166" t="s">
        <v>379</v>
      </c>
      <c r="B48" s="159" t="s">
        <v>389</v>
      </c>
      <c r="C48" s="160">
        <f t="shared" ref="C48:J48" si="24">SUM(C49:C65)</f>
        <v>3669</v>
      </c>
      <c r="D48" s="160">
        <f t="shared" si="24"/>
        <v>2470.6999999999998</v>
      </c>
      <c r="E48" s="160">
        <f t="shared" si="24"/>
        <v>4880.6000000000004</v>
      </c>
      <c r="F48" s="160">
        <f t="shared" si="24"/>
        <v>1975.4</v>
      </c>
      <c r="G48" s="160">
        <f t="shared" si="24"/>
        <v>1331.4</v>
      </c>
      <c r="H48" s="160">
        <f t="shared" si="24"/>
        <v>218</v>
      </c>
      <c r="I48" s="160">
        <f t="shared" si="24"/>
        <v>213</v>
      </c>
      <c r="J48" s="160">
        <f t="shared" si="24"/>
        <v>213</v>
      </c>
      <c r="K48" s="248"/>
      <c r="L48" s="606" t="s">
        <v>389</v>
      </c>
      <c r="M48" s="141">
        <f>SUM(M50:M67)</f>
        <v>610.30000000000007</v>
      </c>
      <c r="N48" s="139">
        <f>SUM(N50:N67)</f>
        <v>889.2</v>
      </c>
      <c r="O48" s="246"/>
      <c r="P48" s="453">
        <f t="shared" si="20"/>
        <v>1245.3999999999999</v>
      </c>
      <c r="Q48" s="115"/>
      <c r="R48" s="399" t="s">
        <v>389</v>
      </c>
      <c r="S48" s="141">
        <f>SUM(S50:S66)</f>
        <v>1220.2</v>
      </c>
      <c r="T48" s="141">
        <f>SUM(T50:T68)</f>
        <v>2134.6</v>
      </c>
      <c r="U48" s="27"/>
      <c r="V48" s="139">
        <f t="shared" si="5"/>
        <v>1076.1999999999998</v>
      </c>
      <c r="W48" s="115"/>
      <c r="X48" s="399" t="s">
        <v>389</v>
      </c>
      <c r="Y48" s="141">
        <f>SUM(Y50:Y66)</f>
        <v>1859.3999999999999</v>
      </c>
      <c r="Z48" s="160">
        <f t="shared" ref="Z48" si="25">SUM(Z49:Z65)</f>
        <v>2470.6999999999998</v>
      </c>
      <c r="AA48" s="506">
        <f>SUM(AA50:AA68)</f>
        <v>3210.7999999999997</v>
      </c>
      <c r="AB48" s="487"/>
      <c r="AC48" s="160">
        <f t="shared" ref="AC48" si="26">SUM(AC49:AC65)</f>
        <v>4880.6000000000004</v>
      </c>
      <c r="AD48" s="248"/>
      <c r="AE48" s="248"/>
      <c r="AG48" s="236"/>
      <c r="AH48" s="497"/>
      <c r="AI48" s="497"/>
      <c r="AJ48" s="497"/>
      <c r="AK48" s="497"/>
      <c r="AL48" s="497"/>
      <c r="AM48" s="236"/>
      <c r="AN48" s="392"/>
      <c r="AO48" s="112"/>
      <c r="AX48" s="241"/>
    </row>
    <row r="49" spans="1:50" s="177" customFormat="1" ht="20.100000000000001" customHeight="1" outlineLevel="1">
      <c r="A49" s="108" t="s">
        <v>301</v>
      </c>
      <c r="B49" s="180"/>
      <c r="C49" s="181"/>
      <c r="D49" s="178"/>
      <c r="E49" s="178"/>
      <c r="F49" s="131"/>
      <c r="G49" s="178"/>
      <c r="H49" s="179"/>
      <c r="I49" s="179"/>
      <c r="J49" s="179"/>
      <c r="K49" s="447"/>
      <c r="L49" s="605"/>
      <c r="M49" s="103"/>
      <c r="N49" s="462"/>
      <c r="O49" s="442"/>
      <c r="P49" s="453">
        <f t="shared" si="20"/>
        <v>0</v>
      </c>
      <c r="Q49" s="345"/>
      <c r="R49" s="150"/>
      <c r="S49" s="103"/>
      <c r="T49" s="264"/>
      <c r="U49" s="442"/>
      <c r="V49" s="139">
        <f t="shared" si="5"/>
        <v>0</v>
      </c>
      <c r="W49" s="345"/>
      <c r="X49" s="150"/>
      <c r="Y49" s="103"/>
      <c r="Z49" s="178"/>
      <c r="AA49" s="508"/>
      <c r="AB49" s="517"/>
      <c r="AC49" s="178"/>
      <c r="AD49" s="570"/>
      <c r="AE49" s="570"/>
      <c r="AG49" s="236"/>
      <c r="AH49" s="497"/>
      <c r="AI49" s="497"/>
      <c r="AJ49" s="497"/>
      <c r="AK49" s="497"/>
      <c r="AL49" s="236"/>
      <c r="AM49" s="236"/>
      <c r="AN49" s="392"/>
      <c r="AO49" s="112"/>
      <c r="AX49" s="366"/>
    </row>
    <row r="50" spans="1:50" s="177" customFormat="1" ht="20.100000000000001" customHeight="1" outlineLevel="1">
      <c r="A50" s="108" t="s">
        <v>342</v>
      </c>
      <c r="B50" s="171" t="s">
        <v>403</v>
      </c>
      <c r="C50" s="181">
        <v>6.2</v>
      </c>
      <c r="D50" s="131">
        <v>29.2</v>
      </c>
      <c r="E50" s="131">
        <f>11.2-0.7</f>
        <v>10.5</v>
      </c>
      <c r="F50" s="131">
        <f t="shared" ref="F50:F68" si="27">G50+H50+I50+J50</f>
        <v>30</v>
      </c>
      <c r="G50" s="230">
        <v>10</v>
      </c>
      <c r="H50" s="263">
        <v>10</v>
      </c>
      <c r="I50" s="230">
        <v>5</v>
      </c>
      <c r="J50" s="230">
        <v>5</v>
      </c>
      <c r="K50" s="237"/>
      <c r="L50" s="606" t="s">
        <v>403</v>
      </c>
      <c r="M50" s="244">
        <v>7.4</v>
      </c>
      <c r="N50" s="462">
        <v>7.3</v>
      </c>
      <c r="O50" s="442"/>
      <c r="P50" s="453">
        <f t="shared" si="20"/>
        <v>1.8999999999999995</v>
      </c>
      <c r="Q50" s="345"/>
      <c r="R50" s="399" t="s">
        <v>403</v>
      </c>
      <c r="S50" s="244">
        <v>14.4</v>
      </c>
      <c r="T50" s="264">
        <v>9.1999999999999993</v>
      </c>
      <c r="U50" s="442"/>
      <c r="V50" s="139">
        <f t="shared" si="5"/>
        <v>0.80000000000000071</v>
      </c>
      <c r="W50" s="345"/>
      <c r="X50" s="399" t="s">
        <v>403</v>
      </c>
      <c r="Y50" s="244">
        <v>21.8</v>
      </c>
      <c r="Z50" s="178">
        <v>29.2</v>
      </c>
      <c r="AA50" s="508">
        <v>10</v>
      </c>
      <c r="AB50" s="517"/>
      <c r="AC50" s="178">
        <v>10.5</v>
      </c>
      <c r="AD50" s="570"/>
      <c r="AE50" s="570"/>
      <c r="AG50" s="249"/>
      <c r="AH50" s="249"/>
      <c r="AI50" s="249"/>
      <c r="AJ50" s="249"/>
      <c r="AK50" s="249"/>
      <c r="AL50" s="249"/>
      <c r="AM50" s="249"/>
      <c r="AN50" s="255"/>
      <c r="AO50" s="249"/>
      <c r="AX50" s="366"/>
    </row>
    <row r="51" spans="1:50" s="177" customFormat="1" ht="20.100000000000001" customHeight="1" outlineLevel="1">
      <c r="A51" s="108" t="s">
        <v>343</v>
      </c>
      <c r="B51" s="171" t="s">
        <v>404</v>
      </c>
      <c r="C51" s="181">
        <v>303.10000000000002</v>
      </c>
      <c r="D51" s="131">
        <v>800</v>
      </c>
      <c r="E51" s="131">
        <v>81.8</v>
      </c>
      <c r="F51" s="131">
        <f t="shared" si="27"/>
        <v>0</v>
      </c>
      <c r="G51" s="230"/>
      <c r="H51" s="230"/>
      <c r="I51" s="230"/>
      <c r="J51" s="230"/>
      <c r="K51" s="237"/>
      <c r="L51" s="606" t="s">
        <v>404</v>
      </c>
      <c r="M51" s="244">
        <v>200</v>
      </c>
      <c r="N51" s="462">
        <v>81.8</v>
      </c>
      <c r="O51" s="442"/>
      <c r="P51" s="453">
        <f t="shared" si="20"/>
        <v>0</v>
      </c>
      <c r="Q51" s="345"/>
      <c r="R51" s="399" t="s">
        <v>404</v>
      </c>
      <c r="S51" s="244">
        <v>400</v>
      </c>
      <c r="T51" s="264">
        <v>81.8</v>
      </c>
      <c r="U51" s="442"/>
      <c r="V51" s="139">
        <f t="shared" si="5"/>
        <v>0</v>
      </c>
      <c r="W51" s="345"/>
      <c r="X51" s="399" t="s">
        <v>404</v>
      </c>
      <c r="Y51" s="244">
        <v>600</v>
      </c>
      <c r="Z51" s="178">
        <v>800</v>
      </c>
      <c r="AA51" s="508">
        <v>81.8</v>
      </c>
      <c r="AB51" s="517"/>
      <c r="AC51" s="178">
        <v>81.8</v>
      </c>
      <c r="AD51" s="570"/>
      <c r="AE51" s="570"/>
      <c r="AN51" s="221"/>
      <c r="AX51" s="366"/>
    </row>
    <row r="52" spans="1:50" s="177" customFormat="1" ht="20.100000000000001" customHeight="1" outlineLevel="1">
      <c r="A52" s="108" t="s">
        <v>344</v>
      </c>
      <c r="B52" s="171" t="s">
        <v>405</v>
      </c>
      <c r="C52" s="181"/>
      <c r="D52" s="131"/>
      <c r="E52" s="131"/>
      <c r="F52" s="131">
        <f t="shared" si="27"/>
        <v>0</v>
      </c>
      <c r="G52" s="256"/>
      <c r="H52" s="263"/>
      <c r="I52" s="230"/>
      <c r="J52" s="230"/>
      <c r="K52" s="237"/>
      <c r="L52" s="606" t="s">
        <v>405</v>
      </c>
      <c r="M52" s="244" t="s">
        <v>333</v>
      </c>
      <c r="N52" s="462"/>
      <c r="O52" s="442"/>
      <c r="P52" s="453">
        <f t="shared" si="20"/>
        <v>0</v>
      </c>
      <c r="Q52" s="345"/>
      <c r="R52" s="399" t="s">
        <v>405</v>
      </c>
      <c r="S52" s="244"/>
      <c r="T52" s="147"/>
      <c r="U52" s="441"/>
      <c r="V52" s="139">
        <f t="shared" si="5"/>
        <v>0</v>
      </c>
      <c r="W52" s="345"/>
      <c r="X52" s="399" t="s">
        <v>405</v>
      </c>
      <c r="Y52" s="244"/>
      <c r="Z52" s="178"/>
      <c r="AA52" s="508"/>
      <c r="AB52" s="517"/>
      <c r="AC52" s="178"/>
      <c r="AD52" s="570"/>
      <c r="AE52" s="570"/>
      <c r="AH52" s="366"/>
      <c r="AI52" s="366"/>
      <c r="AJ52" s="366"/>
      <c r="AN52" s="221"/>
      <c r="AX52" s="366"/>
    </row>
    <row r="53" spans="1:50" s="177" customFormat="1" ht="20.100000000000001" customHeight="1" outlineLevel="1">
      <c r="A53" s="108" t="s">
        <v>345</v>
      </c>
      <c r="B53" s="171" t="s">
        <v>406</v>
      </c>
      <c r="C53" s="181">
        <v>57.4</v>
      </c>
      <c r="D53" s="131">
        <v>108.9</v>
      </c>
      <c r="E53" s="131">
        <v>44.2</v>
      </c>
      <c r="F53" s="131">
        <f t="shared" si="27"/>
        <v>40</v>
      </c>
      <c r="G53" s="244">
        <v>10</v>
      </c>
      <c r="H53" s="244">
        <v>10</v>
      </c>
      <c r="I53" s="244">
        <v>10</v>
      </c>
      <c r="J53" s="244">
        <v>10</v>
      </c>
      <c r="K53" s="248"/>
      <c r="L53" s="606" t="s">
        <v>406</v>
      </c>
      <c r="M53" s="244">
        <v>20</v>
      </c>
      <c r="N53" s="462">
        <v>16.2</v>
      </c>
      <c r="O53" s="442"/>
      <c r="P53" s="453">
        <f t="shared" si="20"/>
        <v>28.000000000000004</v>
      </c>
      <c r="Q53" s="345"/>
      <c r="R53" s="399" t="s">
        <v>406</v>
      </c>
      <c r="S53" s="244">
        <v>40</v>
      </c>
      <c r="T53" s="147">
        <f>23.1+21.1</f>
        <v>44.2</v>
      </c>
      <c r="U53" s="441"/>
      <c r="V53" s="139">
        <f t="shared" si="5"/>
        <v>0</v>
      </c>
      <c r="W53" s="345"/>
      <c r="X53" s="399" t="s">
        <v>406</v>
      </c>
      <c r="Y53" s="244">
        <v>88.9</v>
      </c>
      <c r="Z53" s="178">
        <v>108.9</v>
      </c>
      <c r="AA53" s="508">
        <v>44.2</v>
      </c>
      <c r="AB53" s="517"/>
      <c r="AC53" s="256">
        <v>44.2</v>
      </c>
      <c r="AD53" s="570"/>
      <c r="AE53" s="570"/>
      <c r="AH53" s="366"/>
      <c r="AI53" s="366"/>
      <c r="AJ53" s="366"/>
      <c r="AN53" s="221"/>
      <c r="AX53" s="366"/>
    </row>
    <row r="54" spans="1:50" s="177" customFormat="1" ht="37.5" outlineLevel="1">
      <c r="A54" s="108" t="s">
        <v>346</v>
      </c>
      <c r="B54" s="171" t="s">
        <v>407</v>
      </c>
      <c r="C54" s="181">
        <v>18.399999999999999</v>
      </c>
      <c r="D54" s="131">
        <v>24</v>
      </c>
      <c r="E54" s="131">
        <v>9.5</v>
      </c>
      <c r="F54" s="131">
        <f t="shared" si="27"/>
        <v>24</v>
      </c>
      <c r="G54" s="244">
        <v>6</v>
      </c>
      <c r="H54" s="244">
        <v>6</v>
      </c>
      <c r="I54" s="244">
        <v>6</v>
      </c>
      <c r="J54" s="244">
        <v>6</v>
      </c>
      <c r="K54" s="248"/>
      <c r="L54" s="606" t="s">
        <v>407</v>
      </c>
      <c r="M54" s="244">
        <v>6</v>
      </c>
      <c r="N54" s="462">
        <v>8.5</v>
      </c>
      <c r="O54" s="442"/>
      <c r="P54" s="453">
        <f t="shared" si="20"/>
        <v>0</v>
      </c>
      <c r="Q54" s="345"/>
      <c r="R54" s="399" t="s">
        <v>407</v>
      </c>
      <c r="S54" s="244">
        <v>12</v>
      </c>
      <c r="T54" s="264">
        <v>8.5</v>
      </c>
      <c r="U54" s="442"/>
      <c r="V54" s="139">
        <f t="shared" si="5"/>
        <v>1</v>
      </c>
      <c r="W54" s="345"/>
      <c r="X54" s="399" t="s">
        <v>407</v>
      </c>
      <c r="Y54" s="244">
        <v>18</v>
      </c>
      <c r="Z54" s="178">
        <v>24</v>
      </c>
      <c r="AA54" s="508">
        <v>9.5</v>
      </c>
      <c r="AB54" s="517"/>
      <c r="AC54" s="256">
        <v>9.5</v>
      </c>
      <c r="AD54" s="570"/>
      <c r="AE54" s="570"/>
      <c r="AN54" s="221"/>
      <c r="AX54" s="366"/>
    </row>
    <row r="55" spans="1:50" s="177" customFormat="1" ht="56.25" outlineLevel="1">
      <c r="A55" s="108" t="s">
        <v>348</v>
      </c>
      <c r="B55" s="171" t="s">
        <v>408</v>
      </c>
      <c r="C55" s="131">
        <v>45.4</v>
      </c>
      <c r="D55" s="131">
        <v>60</v>
      </c>
      <c r="E55" s="131">
        <v>26.5</v>
      </c>
      <c r="F55" s="131">
        <f t="shared" si="27"/>
        <v>20</v>
      </c>
      <c r="G55" s="263">
        <v>5</v>
      </c>
      <c r="H55" s="263">
        <v>5</v>
      </c>
      <c r="I55" s="263">
        <v>5</v>
      </c>
      <c r="J55" s="263">
        <v>5</v>
      </c>
      <c r="K55" s="447"/>
      <c r="L55" s="606" t="s">
        <v>408</v>
      </c>
      <c r="M55" s="244">
        <v>15</v>
      </c>
      <c r="N55" s="462">
        <v>6</v>
      </c>
      <c r="O55" s="442"/>
      <c r="P55" s="453">
        <f t="shared" si="20"/>
        <v>10.100000000000001</v>
      </c>
      <c r="Q55" s="345"/>
      <c r="R55" s="399" t="s">
        <v>408</v>
      </c>
      <c r="S55" s="244">
        <v>30</v>
      </c>
      <c r="T55" s="147">
        <v>16.100000000000001</v>
      </c>
      <c r="U55" s="441"/>
      <c r="V55" s="139">
        <f t="shared" si="5"/>
        <v>5.3999999999999986</v>
      </c>
      <c r="W55" s="345"/>
      <c r="X55" s="399" t="s">
        <v>408</v>
      </c>
      <c r="Y55" s="244">
        <v>45</v>
      </c>
      <c r="Z55" s="178">
        <v>60</v>
      </c>
      <c r="AA55" s="508">
        <v>21.5</v>
      </c>
      <c r="AB55" s="517"/>
      <c r="AC55" s="256">
        <v>26.5</v>
      </c>
      <c r="AD55" s="570"/>
      <c r="AE55" s="570"/>
      <c r="AN55" s="221"/>
      <c r="AX55" s="366"/>
    </row>
    <row r="56" spans="1:50" s="177" customFormat="1" ht="20.100000000000001" customHeight="1" outlineLevel="1">
      <c r="A56" s="108" t="s">
        <v>347</v>
      </c>
      <c r="B56" s="171" t="s">
        <v>409</v>
      </c>
      <c r="C56" s="131"/>
      <c r="D56" s="131"/>
      <c r="E56" s="131"/>
      <c r="F56" s="131">
        <f t="shared" si="27"/>
        <v>0</v>
      </c>
      <c r="G56" s="263"/>
      <c r="H56" s="263"/>
      <c r="I56" s="263"/>
      <c r="J56" s="263"/>
      <c r="K56" s="447"/>
      <c r="L56" s="606" t="s">
        <v>409</v>
      </c>
      <c r="M56" s="244"/>
      <c r="N56" s="462"/>
      <c r="O56" s="442"/>
      <c r="P56" s="453">
        <f t="shared" si="20"/>
        <v>0</v>
      </c>
      <c r="Q56" s="345"/>
      <c r="R56" s="399" t="s">
        <v>409</v>
      </c>
      <c r="S56" s="244"/>
      <c r="T56" s="147"/>
      <c r="U56" s="441"/>
      <c r="V56" s="139">
        <f t="shared" si="5"/>
        <v>0</v>
      </c>
      <c r="W56" s="345"/>
      <c r="X56" s="399" t="s">
        <v>409</v>
      </c>
      <c r="Y56" s="244"/>
      <c r="Z56" s="178"/>
      <c r="AA56" s="508"/>
      <c r="AB56" s="517"/>
      <c r="AC56" s="256"/>
      <c r="AD56" s="570"/>
      <c r="AE56" s="570"/>
      <c r="AN56" s="221"/>
      <c r="AX56" s="366"/>
    </row>
    <row r="57" spans="1:50" s="177" customFormat="1" ht="20.100000000000001" customHeight="1" outlineLevel="1">
      <c r="A57" s="108" t="s">
        <v>349</v>
      </c>
      <c r="B57" s="171" t="s">
        <v>410</v>
      </c>
      <c r="C57" s="131">
        <v>10.5</v>
      </c>
      <c r="D57" s="131">
        <v>12</v>
      </c>
      <c r="E57" s="131">
        <v>8.1</v>
      </c>
      <c r="F57" s="131">
        <f t="shared" si="27"/>
        <v>10</v>
      </c>
      <c r="G57" s="263">
        <v>2.5</v>
      </c>
      <c r="H57" s="263">
        <v>2.5</v>
      </c>
      <c r="I57" s="263">
        <v>2.5</v>
      </c>
      <c r="J57" s="263">
        <v>2.5</v>
      </c>
      <c r="K57" s="447"/>
      <c r="L57" s="606" t="s">
        <v>410</v>
      </c>
      <c r="M57" s="244">
        <v>3</v>
      </c>
      <c r="N57" s="462">
        <v>2.4</v>
      </c>
      <c r="O57" s="442"/>
      <c r="P57" s="453">
        <f t="shared" si="20"/>
        <v>2.9</v>
      </c>
      <c r="Q57" s="345"/>
      <c r="R57" s="399" t="s">
        <v>410</v>
      </c>
      <c r="S57" s="244">
        <v>6</v>
      </c>
      <c r="T57" s="147">
        <v>5.3</v>
      </c>
      <c r="U57" s="441"/>
      <c r="V57" s="139">
        <f t="shared" si="5"/>
        <v>2.5</v>
      </c>
      <c r="W57" s="345"/>
      <c r="X57" s="399" t="s">
        <v>410</v>
      </c>
      <c r="Y57" s="244">
        <v>9</v>
      </c>
      <c r="Z57" s="178">
        <v>12</v>
      </c>
      <c r="AA57" s="508">
        <v>7.8</v>
      </c>
      <c r="AB57" s="517"/>
      <c r="AC57" s="256">
        <v>8.1</v>
      </c>
      <c r="AD57" s="570"/>
      <c r="AE57" s="570"/>
      <c r="AH57" s="177" t="s">
        <v>476</v>
      </c>
      <c r="AI57" s="177">
        <v>2019</v>
      </c>
      <c r="AN57" s="221"/>
      <c r="AX57" s="366"/>
    </row>
    <row r="58" spans="1:50" s="177" customFormat="1" ht="20.100000000000001" customHeight="1" outlineLevel="1">
      <c r="A58" s="108" t="s">
        <v>350</v>
      </c>
      <c r="B58" s="171" t="s">
        <v>411</v>
      </c>
      <c r="C58" s="131">
        <v>7.4</v>
      </c>
      <c r="D58" s="131">
        <v>3.2</v>
      </c>
      <c r="E58" s="131"/>
      <c r="F58" s="131">
        <f t="shared" si="27"/>
        <v>3.2</v>
      </c>
      <c r="G58" s="263">
        <v>0.8</v>
      </c>
      <c r="H58" s="263">
        <v>0.8</v>
      </c>
      <c r="I58" s="263">
        <v>0.8</v>
      </c>
      <c r="J58" s="263">
        <v>0.8</v>
      </c>
      <c r="K58" s="447"/>
      <c r="L58" s="606" t="s">
        <v>411</v>
      </c>
      <c r="M58" s="244">
        <v>0.8</v>
      </c>
      <c r="N58" s="462"/>
      <c r="O58" s="442"/>
      <c r="P58" s="453">
        <f t="shared" si="20"/>
        <v>0</v>
      </c>
      <c r="Q58" s="345"/>
      <c r="R58" s="399" t="s">
        <v>411</v>
      </c>
      <c r="S58" s="244">
        <v>1.6</v>
      </c>
      <c r="T58" s="147"/>
      <c r="U58" s="441"/>
      <c r="V58" s="139">
        <f t="shared" si="5"/>
        <v>0</v>
      </c>
      <c r="W58" s="345"/>
      <c r="X58" s="399" t="s">
        <v>411</v>
      </c>
      <c r="Y58" s="244">
        <v>2.4</v>
      </c>
      <c r="Z58" s="178">
        <v>3.2</v>
      </c>
      <c r="AA58" s="508"/>
      <c r="AB58" s="517"/>
      <c r="AC58" s="256"/>
      <c r="AD58" s="570"/>
      <c r="AE58" s="570"/>
      <c r="AJ58" s="177" t="s">
        <v>477</v>
      </c>
      <c r="AK58" s="177" t="s">
        <v>478</v>
      </c>
      <c r="AN58" s="221"/>
      <c r="AX58" s="366"/>
    </row>
    <row r="59" spans="1:50" s="177" customFormat="1" ht="20.100000000000001" customHeight="1" outlineLevel="1">
      <c r="A59" s="113" t="s">
        <v>351</v>
      </c>
      <c r="B59" s="259" t="s">
        <v>412</v>
      </c>
      <c r="C59" s="230">
        <v>42.5</v>
      </c>
      <c r="D59" s="230">
        <v>60</v>
      </c>
      <c r="E59" s="131">
        <v>60</v>
      </c>
      <c r="F59" s="131">
        <f t="shared" si="27"/>
        <v>40</v>
      </c>
      <c r="G59" s="263">
        <v>10</v>
      </c>
      <c r="H59" s="263">
        <v>10</v>
      </c>
      <c r="I59" s="263">
        <v>10</v>
      </c>
      <c r="J59" s="263">
        <v>10</v>
      </c>
      <c r="K59" s="447"/>
      <c r="L59" s="606" t="s">
        <v>412</v>
      </c>
      <c r="M59" s="244">
        <v>15</v>
      </c>
      <c r="N59" s="462">
        <f>5.3+3.3</f>
        <v>8.6</v>
      </c>
      <c r="O59" s="442"/>
      <c r="P59" s="453">
        <f t="shared" si="20"/>
        <v>8.5000000000000018</v>
      </c>
      <c r="R59" s="399" t="s">
        <v>412</v>
      </c>
      <c r="S59" s="244">
        <v>30</v>
      </c>
      <c r="T59" s="147">
        <f>8.3+8.8</f>
        <v>17.100000000000001</v>
      </c>
      <c r="U59" s="441"/>
      <c r="V59" s="139">
        <f t="shared" si="5"/>
        <v>24.199999999999996</v>
      </c>
      <c r="X59" s="399" t="s">
        <v>412</v>
      </c>
      <c r="Y59" s="244">
        <v>45</v>
      </c>
      <c r="Z59" s="256">
        <v>60</v>
      </c>
      <c r="AA59" s="508">
        <v>41.3</v>
      </c>
      <c r="AB59" s="180"/>
      <c r="AC59" s="256">
        <v>60</v>
      </c>
      <c r="AD59" s="570"/>
      <c r="AE59" s="570"/>
      <c r="AG59" s="177">
        <v>1</v>
      </c>
      <c r="AH59" s="177">
        <v>36827</v>
      </c>
      <c r="AJ59" s="177">
        <v>2282027.2000000002</v>
      </c>
      <c r="AN59" s="221"/>
      <c r="AX59" s="366"/>
    </row>
    <row r="60" spans="1:50" s="177" customFormat="1" ht="20.100000000000001" customHeight="1" outlineLevel="1">
      <c r="A60" s="113" t="s">
        <v>352</v>
      </c>
      <c r="B60" s="259" t="s">
        <v>413</v>
      </c>
      <c r="C60" s="230">
        <v>10.5</v>
      </c>
      <c r="D60" s="230">
        <v>25</v>
      </c>
      <c r="E60" s="131">
        <v>25</v>
      </c>
      <c r="F60" s="131">
        <f t="shared" si="27"/>
        <v>30</v>
      </c>
      <c r="G60" s="263">
        <v>7.5</v>
      </c>
      <c r="H60" s="263">
        <v>7.5</v>
      </c>
      <c r="I60" s="263">
        <v>7.5</v>
      </c>
      <c r="J60" s="263">
        <v>7.5</v>
      </c>
      <c r="K60" s="447"/>
      <c r="L60" s="606" t="s">
        <v>413</v>
      </c>
      <c r="M60" s="244">
        <v>6</v>
      </c>
      <c r="N60" s="462">
        <f>3.8+6.8</f>
        <v>10.6</v>
      </c>
      <c r="O60" s="442"/>
      <c r="P60" s="453">
        <f t="shared" si="20"/>
        <v>6.2999999999999989</v>
      </c>
      <c r="R60" s="399" t="s">
        <v>413</v>
      </c>
      <c r="S60" s="244">
        <v>12</v>
      </c>
      <c r="T60" s="264">
        <f>3.7+2.7+1.9+8.6</f>
        <v>16.899999999999999</v>
      </c>
      <c r="U60" s="442"/>
      <c r="V60" s="139">
        <f t="shared" si="5"/>
        <v>4.6000000000000014</v>
      </c>
      <c r="X60" s="399" t="s">
        <v>413</v>
      </c>
      <c r="Y60" s="244">
        <v>18</v>
      </c>
      <c r="Z60" s="256">
        <v>25</v>
      </c>
      <c r="AA60" s="508">
        <v>21.5</v>
      </c>
      <c r="AB60" s="180"/>
      <c r="AC60" s="256">
        <v>25</v>
      </c>
      <c r="AD60" s="570"/>
      <c r="AE60" s="570"/>
      <c r="AG60" s="177">
        <v>2</v>
      </c>
      <c r="AH60" s="177">
        <v>38469</v>
      </c>
      <c r="AJ60" s="177">
        <v>2339006.4</v>
      </c>
      <c r="AN60" s="221"/>
      <c r="AX60" s="366"/>
    </row>
    <row r="61" spans="1:50" s="177" customFormat="1" ht="19.5" outlineLevel="1">
      <c r="A61" s="113" t="s">
        <v>419</v>
      </c>
      <c r="B61" s="259" t="s">
        <v>414</v>
      </c>
      <c r="C61" s="230">
        <v>4.2</v>
      </c>
      <c r="D61" s="230">
        <v>4.4000000000000004</v>
      </c>
      <c r="E61" s="131">
        <v>4.4000000000000004</v>
      </c>
      <c r="F61" s="131">
        <f t="shared" si="27"/>
        <v>4.8</v>
      </c>
      <c r="G61" s="263">
        <v>1.2</v>
      </c>
      <c r="H61" s="263">
        <v>1.2</v>
      </c>
      <c r="I61" s="263">
        <v>1.2</v>
      </c>
      <c r="J61" s="263">
        <v>1.2</v>
      </c>
      <c r="K61" s="447"/>
      <c r="L61" s="606" t="s">
        <v>414</v>
      </c>
      <c r="M61" s="244">
        <v>1.1000000000000001</v>
      </c>
      <c r="N61" s="462">
        <v>1.1000000000000001</v>
      </c>
      <c r="O61" s="442"/>
      <c r="P61" s="453">
        <f t="shared" si="20"/>
        <v>1.1000000000000001</v>
      </c>
      <c r="R61" s="399" t="s">
        <v>414</v>
      </c>
      <c r="S61" s="244">
        <v>2.2000000000000002</v>
      </c>
      <c r="T61" s="147">
        <v>2.2000000000000002</v>
      </c>
      <c r="U61" s="441"/>
      <c r="V61" s="139">
        <f t="shared" si="5"/>
        <v>0.59999999999999964</v>
      </c>
      <c r="X61" s="399" t="s">
        <v>414</v>
      </c>
      <c r="Y61" s="244">
        <v>3.3</v>
      </c>
      <c r="Z61" s="256">
        <v>4.4000000000000004</v>
      </c>
      <c r="AA61" s="508">
        <v>2.8</v>
      </c>
      <c r="AB61" s="180"/>
      <c r="AC61" s="256">
        <v>4.4000000000000004</v>
      </c>
      <c r="AD61" s="570"/>
      <c r="AE61" s="570"/>
      <c r="AG61" s="177">
        <v>3</v>
      </c>
      <c r="AH61" s="177">
        <v>39384</v>
      </c>
      <c r="AJ61" s="177">
        <v>2374557.23</v>
      </c>
      <c r="AN61" s="221"/>
      <c r="AX61" s="366"/>
    </row>
    <row r="62" spans="1:50" s="177" customFormat="1" ht="21" customHeight="1" outlineLevel="1">
      <c r="A62" s="113" t="s">
        <v>433</v>
      </c>
      <c r="B62" s="259" t="s">
        <v>415</v>
      </c>
      <c r="C62" s="230">
        <v>73.3</v>
      </c>
      <c r="D62" s="230">
        <v>720</v>
      </c>
      <c r="E62" s="131">
        <v>720</v>
      </c>
      <c r="F62" s="230">
        <f t="shared" si="27"/>
        <v>600</v>
      </c>
      <c r="G62" s="263">
        <v>150</v>
      </c>
      <c r="H62" s="263">
        <v>150</v>
      </c>
      <c r="I62" s="263">
        <v>150</v>
      </c>
      <c r="J62" s="263">
        <v>150</v>
      </c>
      <c r="K62" s="447"/>
      <c r="L62" s="606" t="s">
        <v>415</v>
      </c>
      <c r="M62" s="244">
        <v>180</v>
      </c>
      <c r="N62" s="462">
        <v>89</v>
      </c>
      <c r="O62" s="442"/>
      <c r="P62" s="453">
        <f t="shared" si="20"/>
        <v>226.2</v>
      </c>
      <c r="R62" s="399" t="s">
        <v>415</v>
      </c>
      <c r="S62" s="244">
        <v>360</v>
      </c>
      <c r="T62" s="147">
        <f>186.6+128.6</f>
        <v>315.2</v>
      </c>
      <c r="U62" s="441"/>
      <c r="V62" s="139">
        <f t="shared" si="5"/>
        <v>90.199999999999989</v>
      </c>
      <c r="X62" s="399" t="s">
        <v>415</v>
      </c>
      <c r="Y62" s="244">
        <v>540</v>
      </c>
      <c r="Z62" s="256">
        <v>720</v>
      </c>
      <c r="AA62" s="508">
        <v>405.4</v>
      </c>
      <c r="AB62" s="180"/>
      <c r="AC62" s="256">
        <v>720</v>
      </c>
      <c r="AD62" s="570"/>
      <c r="AE62" s="570"/>
      <c r="AG62" s="177">
        <v>4</v>
      </c>
      <c r="AH62" s="177">
        <v>40833</v>
      </c>
      <c r="AJ62" s="177">
        <v>2231959.23</v>
      </c>
      <c r="AN62" s="221"/>
      <c r="AX62" s="366"/>
    </row>
    <row r="63" spans="1:50" s="177" customFormat="1" ht="19.5" outlineLevel="1">
      <c r="A63" s="113" t="s">
        <v>420</v>
      </c>
      <c r="B63" s="171" t="s">
        <v>416</v>
      </c>
      <c r="C63" s="131">
        <v>3086.9</v>
      </c>
      <c r="D63" s="131">
        <v>0</v>
      </c>
      <c r="E63" s="230">
        <v>3794.7</v>
      </c>
      <c r="F63" s="230">
        <f t="shared" si="27"/>
        <v>1113.4000000000001</v>
      </c>
      <c r="G63" s="263">
        <v>1113.4000000000001</v>
      </c>
      <c r="H63" s="263"/>
      <c r="I63" s="263"/>
      <c r="J63" s="263"/>
      <c r="K63" s="447"/>
      <c r="L63" s="606" t="s">
        <v>416</v>
      </c>
      <c r="M63" s="244"/>
      <c r="N63" s="462">
        <v>610</v>
      </c>
      <c r="O63" s="442"/>
      <c r="P63" s="453">
        <f t="shared" si="20"/>
        <v>886.90000000000009</v>
      </c>
      <c r="R63" s="399" t="s">
        <v>416</v>
      </c>
      <c r="S63" s="244"/>
      <c r="T63" s="147">
        <v>1496.9</v>
      </c>
      <c r="U63" s="441"/>
      <c r="V63" s="139">
        <f t="shared" si="5"/>
        <v>942.69999999999982</v>
      </c>
      <c r="X63" s="399" t="s">
        <v>416</v>
      </c>
      <c r="Y63" s="244"/>
      <c r="Z63" s="178">
        <v>0</v>
      </c>
      <c r="AA63" s="508">
        <v>2439.6</v>
      </c>
      <c r="AB63" s="180"/>
      <c r="AC63" s="256">
        <v>3794.7</v>
      </c>
      <c r="AD63" s="570"/>
      <c r="AE63" s="570"/>
      <c r="AG63" s="177">
        <v>5</v>
      </c>
      <c r="AH63" s="177">
        <v>42263</v>
      </c>
      <c r="AJ63" s="177">
        <v>2329322.67</v>
      </c>
      <c r="AN63" s="221"/>
      <c r="AX63" s="366"/>
    </row>
    <row r="64" spans="1:50" s="177" customFormat="1" ht="19.5" outlineLevel="1">
      <c r="A64" s="113" t="s">
        <v>421</v>
      </c>
      <c r="B64" s="171" t="s">
        <v>417</v>
      </c>
      <c r="C64" s="131"/>
      <c r="D64" s="131">
        <v>600</v>
      </c>
      <c r="E64" s="131">
        <v>17.100000000000001</v>
      </c>
      <c r="F64" s="230">
        <f t="shared" si="27"/>
        <v>20</v>
      </c>
      <c r="G64" s="263">
        <v>5</v>
      </c>
      <c r="H64" s="263">
        <v>5</v>
      </c>
      <c r="I64" s="263">
        <v>5</v>
      </c>
      <c r="J64" s="263">
        <v>5</v>
      </c>
      <c r="K64" s="447"/>
      <c r="L64" s="606" t="s">
        <v>417</v>
      </c>
      <c r="M64" s="244">
        <v>150</v>
      </c>
      <c r="N64" s="462">
        <v>17.100000000000001</v>
      </c>
      <c r="O64" s="442"/>
      <c r="P64" s="453">
        <f t="shared" si="20"/>
        <v>0</v>
      </c>
      <c r="R64" s="399" t="s">
        <v>417</v>
      </c>
      <c r="S64" s="244">
        <v>300</v>
      </c>
      <c r="T64" s="147">
        <v>17.100000000000001</v>
      </c>
      <c r="U64" s="441"/>
      <c r="V64" s="139">
        <f t="shared" si="5"/>
        <v>0</v>
      </c>
      <c r="X64" s="399" t="s">
        <v>417</v>
      </c>
      <c r="Y64" s="244">
        <v>450</v>
      </c>
      <c r="Z64" s="178">
        <v>600</v>
      </c>
      <c r="AA64" s="508">
        <v>17.100000000000001</v>
      </c>
      <c r="AB64" s="180"/>
      <c r="AC64" s="256">
        <v>17.100000000000001</v>
      </c>
      <c r="AD64" s="570"/>
      <c r="AE64" s="570"/>
      <c r="AG64" s="177">
        <v>6</v>
      </c>
      <c r="AH64" s="177">
        <v>42579</v>
      </c>
      <c r="AI64" s="177">
        <f t="shared" ref="AI64:AI69" si="28">AH64-AH63</f>
        <v>316</v>
      </c>
      <c r="AJ64" s="177">
        <v>2320216.9</v>
      </c>
      <c r="AN64" s="221"/>
      <c r="AX64" s="366"/>
    </row>
    <row r="65" spans="1:50" s="177" customFormat="1" ht="19.5" outlineLevel="1">
      <c r="A65" s="113" t="s">
        <v>422</v>
      </c>
      <c r="B65" s="171" t="s">
        <v>418</v>
      </c>
      <c r="C65" s="131">
        <v>3.2</v>
      </c>
      <c r="D65" s="131">
        <v>24</v>
      </c>
      <c r="E65" s="131">
        <v>78.8</v>
      </c>
      <c r="F65" s="230">
        <f t="shared" si="27"/>
        <v>40</v>
      </c>
      <c r="G65" s="263">
        <v>10</v>
      </c>
      <c r="H65" s="263">
        <v>10</v>
      </c>
      <c r="I65" s="263">
        <v>10</v>
      </c>
      <c r="J65" s="263">
        <v>10</v>
      </c>
      <c r="K65" s="447"/>
      <c r="L65" s="606" t="s">
        <v>418</v>
      </c>
      <c r="M65" s="244">
        <v>6</v>
      </c>
      <c r="N65" s="462">
        <v>4</v>
      </c>
      <c r="O65" s="442"/>
      <c r="P65" s="453">
        <f t="shared" si="20"/>
        <v>70.599999999999994</v>
      </c>
      <c r="R65" s="399" t="s">
        <v>418</v>
      </c>
      <c r="S65" s="244">
        <v>12</v>
      </c>
      <c r="T65" s="147">
        <f>4+70.6</f>
        <v>74.599999999999994</v>
      </c>
      <c r="U65" s="441"/>
      <c r="V65" s="139">
        <f t="shared" si="5"/>
        <v>4.2000000000000028</v>
      </c>
      <c r="X65" s="399" t="s">
        <v>418</v>
      </c>
      <c r="Y65" s="244">
        <v>18</v>
      </c>
      <c r="Z65" s="178">
        <v>24</v>
      </c>
      <c r="AA65" s="508">
        <v>78.8</v>
      </c>
      <c r="AB65" s="180"/>
      <c r="AC65" s="256">
        <v>78.8</v>
      </c>
      <c r="AD65" s="570"/>
      <c r="AE65" s="570"/>
      <c r="AG65" s="177">
        <v>7</v>
      </c>
      <c r="AH65" s="177">
        <v>42837</v>
      </c>
      <c r="AI65" s="177">
        <f t="shared" si="28"/>
        <v>258</v>
      </c>
      <c r="AJ65" s="177">
        <v>2349173.17</v>
      </c>
      <c r="AK65" s="177">
        <f>AJ65-AJ64</f>
        <v>28956.270000000019</v>
      </c>
      <c r="AN65" s="221"/>
      <c r="AX65" s="366"/>
    </row>
    <row r="66" spans="1:50" s="177" customFormat="1" ht="19.5" outlineLevel="1">
      <c r="A66" s="113" t="s">
        <v>482</v>
      </c>
      <c r="B66" s="259" t="s">
        <v>467</v>
      </c>
      <c r="C66" s="230"/>
      <c r="D66" s="230"/>
      <c r="E66" s="230"/>
      <c r="F66" s="230">
        <f t="shared" si="27"/>
        <v>10.7</v>
      </c>
      <c r="G66" s="230">
        <v>10.7</v>
      </c>
      <c r="H66" s="230"/>
      <c r="I66" s="230"/>
      <c r="J66" s="230"/>
      <c r="K66" s="237"/>
      <c r="L66" s="606" t="s">
        <v>467</v>
      </c>
      <c r="M66" s="244"/>
      <c r="N66" s="462">
        <v>26.6</v>
      </c>
      <c r="O66" s="442"/>
      <c r="P66" s="453">
        <f t="shared" si="20"/>
        <v>-26.6</v>
      </c>
      <c r="R66" s="399" t="s">
        <v>467</v>
      </c>
      <c r="S66" s="244"/>
      <c r="T66" s="147"/>
      <c r="U66" s="441"/>
      <c r="V66" s="139">
        <f t="shared" si="5"/>
        <v>0</v>
      </c>
      <c r="X66" s="399" t="s">
        <v>467</v>
      </c>
      <c r="Y66" s="244"/>
      <c r="Z66" s="178"/>
      <c r="AA66" s="508"/>
      <c r="AB66" s="180"/>
      <c r="AC66" s="256"/>
      <c r="AD66" s="570"/>
      <c r="AE66" s="570"/>
      <c r="AG66" s="177">
        <v>8</v>
      </c>
      <c r="AH66" s="177">
        <v>42939</v>
      </c>
      <c r="AI66" s="177">
        <f t="shared" si="28"/>
        <v>102</v>
      </c>
      <c r="AJ66" s="177">
        <v>2350468.15</v>
      </c>
      <c r="AK66" s="177">
        <f>AJ66-AJ65</f>
        <v>1294.9799999999814</v>
      </c>
      <c r="AN66" s="221"/>
      <c r="AX66" s="366"/>
    </row>
    <row r="67" spans="1:50" s="177" customFormat="1" ht="19.5" outlineLevel="1">
      <c r="A67" s="113" t="s">
        <v>483</v>
      </c>
      <c r="B67" s="171" t="s">
        <v>468</v>
      </c>
      <c r="C67" s="131"/>
      <c r="D67" s="131"/>
      <c r="E67" s="131">
        <v>26.6</v>
      </c>
      <c r="F67" s="230">
        <f t="shared" si="27"/>
        <v>0</v>
      </c>
      <c r="G67" s="263"/>
      <c r="H67" s="263"/>
      <c r="I67" s="263"/>
      <c r="J67" s="263"/>
      <c r="K67" s="447"/>
      <c r="L67" s="606"/>
      <c r="M67" s="244"/>
      <c r="N67" s="462"/>
      <c r="O67" s="442"/>
      <c r="P67" s="453">
        <f t="shared" si="20"/>
        <v>26.6</v>
      </c>
      <c r="R67" s="399" t="s">
        <v>468</v>
      </c>
      <c r="S67" s="244"/>
      <c r="T67" s="147">
        <v>26.6</v>
      </c>
      <c r="U67" s="441"/>
      <c r="V67" s="139">
        <f t="shared" si="5"/>
        <v>0</v>
      </c>
      <c r="X67" s="399" t="s">
        <v>468</v>
      </c>
      <c r="Y67" s="244"/>
      <c r="Z67" s="178"/>
      <c r="AA67" s="508">
        <v>26.6</v>
      </c>
      <c r="AB67" s="180"/>
      <c r="AC67" s="256">
        <v>26.6</v>
      </c>
      <c r="AD67" s="570"/>
      <c r="AE67" s="570"/>
      <c r="AG67" s="177">
        <v>9</v>
      </c>
      <c r="AH67" s="177">
        <v>43007</v>
      </c>
      <c r="AI67" s="177">
        <f t="shared" si="28"/>
        <v>68</v>
      </c>
      <c r="AJ67" s="177">
        <v>2351152.65</v>
      </c>
      <c r="AK67" s="177">
        <f>AJ67-AJ66</f>
        <v>684.5</v>
      </c>
      <c r="AN67" s="221"/>
      <c r="AX67" s="366"/>
    </row>
    <row r="68" spans="1:50" s="177" customFormat="1" ht="19.5" outlineLevel="1">
      <c r="A68" s="113" t="s">
        <v>484</v>
      </c>
      <c r="B68" s="171" t="s">
        <v>469</v>
      </c>
      <c r="C68" s="131"/>
      <c r="D68" s="131"/>
      <c r="E68" s="131">
        <v>9</v>
      </c>
      <c r="F68" s="131">
        <f t="shared" si="27"/>
        <v>0</v>
      </c>
      <c r="G68" s="263"/>
      <c r="H68" s="263"/>
      <c r="I68" s="263"/>
      <c r="J68" s="263"/>
      <c r="K68" s="447"/>
      <c r="N68" s="417"/>
      <c r="O68" s="345"/>
      <c r="P68" s="453">
        <f t="shared" si="20"/>
        <v>2.9</v>
      </c>
      <c r="R68" s="399" t="s">
        <v>469</v>
      </c>
      <c r="S68" s="147"/>
      <c r="T68" s="147">
        <v>2.9</v>
      </c>
      <c r="U68" s="441"/>
      <c r="V68" s="139">
        <f t="shared" si="5"/>
        <v>0</v>
      </c>
      <c r="X68" s="399" t="s">
        <v>469</v>
      </c>
      <c r="Y68" s="147"/>
      <c r="Z68" s="178"/>
      <c r="AA68" s="508">
        <v>2.9</v>
      </c>
      <c r="AB68" s="180"/>
      <c r="AC68" s="256">
        <v>9</v>
      </c>
      <c r="AD68" s="570"/>
      <c r="AE68" s="570"/>
      <c r="AG68" s="177">
        <v>10</v>
      </c>
      <c r="AH68" s="177">
        <v>43318</v>
      </c>
      <c r="AI68" s="177">
        <f t="shared" si="28"/>
        <v>311</v>
      </c>
      <c r="AJ68" s="177">
        <v>2361087.17</v>
      </c>
      <c r="AK68" s="177">
        <f>AJ68-AJ67</f>
        <v>9934.5200000000186</v>
      </c>
      <c r="AN68" s="221"/>
      <c r="AX68" s="366"/>
    </row>
    <row r="69" spans="1:50" s="5" customFormat="1" ht="40.5" customHeight="1">
      <c r="A69" s="585" t="s">
        <v>261</v>
      </c>
      <c r="B69" s="138">
        <v>1060</v>
      </c>
      <c r="C69" s="139">
        <f>C33-C34</f>
        <v>8382.7999999999993</v>
      </c>
      <c r="D69" s="139">
        <f>D33-D34</f>
        <v>7848.3999999999978</v>
      </c>
      <c r="E69" s="139">
        <f t="shared" ref="E69:J69" si="29">E33-E34</f>
        <v>8087.1999999999971</v>
      </c>
      <c r="F69" s="139">
        <f>F33-F34</f>
        <v>8992.4000000000015</v>
      </c>
      <c r="G69" s="139">
        <f t="shared" si="29"/>
        <v>2295.7000000000007</v>
      </c>
      <c r="H69" s="139">
        <f t="shared" si="29"/>
        <v>2227.3999999999996</v>
      </c>
      <c r="I69" s="139">
        <f t="shared" si="29"/>
        <v>2261.5999999999995</v>
      </c>
      <c r="J69" s="139">
        <f t="shared" si="29"/>
        <v>2207.7000000000016</v>
      </c>
      <c r="K69" s="246"/>
      <c r="L69" s="604">
        <v>1060</v>
      </c>
      <c r="M69" s="427">
        <f>SUM(M33-M34)</f>
        <v>1782.7000000000007</v>
      </c>
      <c r="N69" s="139">
        <f>SUM(N33-N34)</f>
        <v>1949</v>
      </c>
      <c r="O69" s="246"/>
      <c r="P69" s="453">
        <f t="shared" si="20"/>
        <v>1915.1000000000004</v>
      </c>
      <c r="R69" s="434">
        <v>1060</v>
      </c>
      <c r="S69" s="427">
        <f>SUM(S33-S34)</f>
        <v>3800.2999999999993</v>
      </c>
      <c r="T69" s="427">
        <f>SUM(T33-T34)</f>
        <v>3864.1000000000004</v>
      </c>
      <c r="U69" s="440"/>
      <c r="V69" s="139">
        <f t="shared" si="5"/>
        <v>3184.3000000000011</v>
      </c>
      <c r="X69" s="434">
        <v>1060</v>
      </c>
      <c r="Y69" s="427">
        <f>SUM(Y33-Y34)</f>
        <v>5815.5999999999985</v>
      </c>
      <c r="Z69" s="139">
        <f>Z33-Z34</f>
        <v>7848.3999999999978</v>
      </c>
      <c r="AA69" s="506">
        <f>SUM(AA33-AA34)</f>
        <v>7048.4000000000015</v>
      </c>
      <c r="AB69" s="515"/>
      <c r="AC69" s="139">
        <f>AC33-AC34</f>
        <v>8082.1809108540147</v>
      </c>
      <c r="AD69" s="246"/>
      <c r="AE69" s="246"/>
      <c r="AG69" s="3">
        <v>11</v>
      </c>
      <c r="AH69" s="3">
        <v>43699</v>
      </c>
      <c r="AI69" s="3">
        <f t="shared" si="28"/>
        <v>381</v>
      </c>
      <c r="AJ69" s="3">
        <v>2356526.0299999998</v>
      </c>
      <c r="AK69" s="5">
        <f>AJ69-AJ68</f>
        <v>-4561.1400000001304</v>
      </c>
      <c r="AN69" s="234"/>
      <c r="AX69" s="310"/>
    </row>
    <row r="70" spans="1:50" ht="40.5" customHeight="1">
      <c r="A70" s="155" t="s">
        <v>175</v>
      </c>
      <c r="B70" s="136">
        <v>1070</v>
      </c>
      <c r="C70" s="161">
        <f>SUM(C71:C73)</f>
        <v>447.6</v>
      </c>
      <c r="D70" s="161">
        <f>SUM(D71:D73)</f>
        <v>927.6</v>
      </c>
      <c r="E70" s="161">
        <f>SUM(E71:E73)</f>
        <v>1108.4000000000001</v>
      </c>
      <c r="F70" s="161">
        <f>G70+H70+I70+J70</f>
        <v>1080.9000000000001</v>
      </c>
      <c r="G70" s="161">
        <f>SUM(G71:G73)</f>
        <v>400.5</v>
      </c>
      <c r="H70" s="161">
        <f>SUM(H71:H73)</f>
        <v>182.7</v>
      </c>
      <c r="I70" s="161">
        <f>SUM(I71:I73)</f>
        <v>183.2</v>
      </c>
      <c r="J70" s="161">
        <f>SUM(J71:J73)</f>
        <v>314.5</v>
      </c>
      <c r="K70" s="247"/>
      <c r="L70" s="604">
        <v>1070</v>
      </c>
      <c r="M70" s="427">
        <f>M71+M72+M73</f>
        <v>267.5</v>
      </c>
      <c r="N70" s="139">
        <f>N71+N72+N73</f>
        <v>311.59999999999997</v>
      </c>
      <c r="O70" s="246"/>
      <c r="P70" s="453">
        <f t="shared" si="20"/>
        <v>249.50000000000006</v>
      </c>
      <c r="R70" s="434">
        <v>1070</v>
      </c>
      <c r="S70" s="427">
        <f>S71+S72+S73</f>
        <v>469.3</v>
      </c>
      <c r="T70" s="427">
        <f>T71+T72+T73</f>
        <v>561.1</v>
      </c>
      <c r="U70" s="440"/>
      <c r="V70" s="139">
        <f t="shared" si="5"/>
        <v>171.39999999999998</v>
      </c>
      <c r="X70" s="434">
        <v>1070</v>
      </c>
      <c r="Y70" s="427">
        <f>Y71+Y72+Y73</f>
        <v>671.2</v>
      </c>
      <c r="Z70" s="161">
        <f>SUM(Z71:Z73)</f>
        <v>927.6</v>
      </c>
      <c r="AA70" s="506">
        <f>AA71+AA72+AA73</f>
        <v>732.5</v>
      </c>
      <c r="AC70" s="161">
        <f>SUM(AC71:AC73)</f>
        <v>1108.4000000000001</v>
      </c>
      <c r="AD70" s="247"/>
      <c r="AE70" s="247"/>
      <c r="AG70" s="169">
        <v>12</v>
      </c>
      <c r="AH70" s="169">
        <v>43994</v>
      </c>
      <c r="AI70" s="169">
        <f>AH70-AH69</f>
        <v>295</v>
      </c>
    </row>
    <row r="71" spans="1:50" s="169" customFormat="1" ht="20.100000000000001" customHeight="1">
      <c r="A71" s="170" t="s">
        <v>339</v>
      </c>
      <c r="B71" s="171">
        <v>1071</v>
      </c>
      <c r="C71" s="172">
        <v>231</v>
      </c>
      <c r="D71" s="172">
        <v>927.6</v>
      </c>
      <c r="E71" s="172">
        <f>275.8+E118</f>
        <v>1100</v>
      </c>
      <c r="F71" s="258">
        <f>G71+H71+I71+J71</f>
        <v>1080.9000000000001</v>
      </c>
      <c r="G71" s="470">
        <f>(24*3)+G118</f>
        <v>400.5</v>
      </c>
      <c r="H71" s="470">
        <f>(24*3)+H118</f>
        <v>182.7</v>
      </c>
      <c r="I71" s="470">
        <f>(24*3)+I118</f>
        <v>183.2</v>
      </c>
      <c r="J71" s="470">
        <f>(24*3)+J118</f>
        <v>314.5</v>
      </c>
      <c r="K71" s="572"/>
      <c r="L71" s="607">
        <v>1071</v>
      </c>
      <c r="M71" s="244">
        <v>267.5</v>
      </c>
      <c r="N71" s="455">
        <f>59.7+250.7</f>
        <v>310.39999999999998</v>
      </c>
      <c r="O71" s="445"/>
      <c r="P71" s="453">
        <f t="shared" si="20"/>
        <v>245.60000000000002</v>
      </c>
      <c r="R71" s="435">
        <v>1071</v>
      </c>
      <c r="S71" s="244">
        <v>469.3</v>
      </c>
      <c r="T71" s="258">
        <f>556.2-0.2</f>
        <v>556</v>
      </c>
      <c r="U71" s="445"/>
      <c r="V71" s="139">
        <f t="shared" si="5"/>
        <v>168.10000000000002</v>
      </c>
      <c r="X71" s="435">
        <v>1071</v>
      </c>
      <c r="Y71" s="244">
        <v>671.2</v>
      </c>
      <c r="Z71" s="172">
        <v>927.6</v>
      </c>
      <c r="AA71" s="511">
        <v>724.1</v>
      </c>
      <c r="AB71" s="180"/>
      <c r="AC71" s="172">
        <v>1100</v>
      </c>
      <c r="AD71" s="572"/>
      <c r="AE71" s="572"/>
      <c r="AN71" s="394"/>
      <c r="AX71" s="460"/>
    </row>
    <row r="72" spans="1:50" s="169" customFormat="1" ht="20.100000000000001" customHeight="1">
      <c r="A72" s="170" t="s">
        <v>340</v>
      </c>
      <c r="B72" s="173">
        <v>1072</v>
      </c>
      <c r="C72" s="172">
        <v>216.6</v>
      </c>
      <c r="D72" s="172"/>
      <c r="E72" s="172">
        <v>8.4</v>
      </c>
      <c r="F72" s="146">
        <f>G72+H72+I72+J72</f>
        <v>0</v>
      </c>
      <c r="G72" s="470"/>
      <c r="H72" s="470"/>
      <c r="I72" s="470"/>
      <c r="J72" s="470"/>
      <c r="K72" s="572"/>
      <c r="L72" s="607">
        <v>1072</v>
      </c>
      <c r="M72" s="244"/>
      <c r="N72" s="455">
        <v>1.2</v>
      </c>
      <c r="O72" s="445"/>
      <c r="P72" s="453">
        <f t="shared" si="20"/>
        <v>3.8999999999999995</v>
      </c>
      <c r="R72" s="435">
        <v>1072</v>
      </c>
      <c r="S72" s="244"/>
      <c r="T72" s="258">
        <v>5.0999999999999996</v>
      </c>
      <c r="U72" s="445"/>
      <c r="V72" s="139">
        <f t="shared" si="5"/>
        <v>3.3000000000000007</v>
      </c>
      <c r="X72" s="435">
        <v>1072</v>
      </c>
      <c r="Y72" s="244"/>
      <c r="Z72" s="172"/>
      <c r="AA72" s="511">
        <v>8.4</v>
      </c>
      <c r="AB72" s="180"/>
      <c r="AC72" s="172">
        <v>8.4</v>
      </c>
      <c r="AD72" s="572"/>
      <c r="AE72" s="572"/>
      <c r="AN72" s="394"/>
      <c r="AX72" s="460"/>
    </row>
    <row r="73" spans="1:50" s="169" customFormat="1" ht="20.100000000000001" customHeight="1">
      <c r="A73" s="170" t="s">
        <v>341</v>
      </c>
      <c r="B73" s="173">
        <v>1073</v>
      </c>
      <c r="C73" s="172"/>
      <c r="D73" s="245"/>
      <c r="E73" s="172"/>
      <c r="F73" s="146">
        <f>G73+H73+I73+J73</f>
        <v>0</v>
      </c>
      <c r="G73" s="172"/>
      <c r="H73" s="172"/>
      <c r="I73" s="172"/>
      <c r="J73" s="172"/>
      <c r="K73" s="572"/>
      <c r="L73" s="607">
        <v>1073</v>
      </c>
      <c r="M73" s="238"/>
      <c r="N73" s="229"/>
      <c r="O73" s="247"/>
      <c r="P73" s="453">
        <f t="shared" si="20"/>
        <v>0</v>
      </c>
      <c r="R73" s="435">
        <v>1073</v>
      </c>
      <c r="S73" s="238"/>
      <c r="T73" s="245"/>
      <c r="U73" s="247"/>
      <c r="V73" s="139">
        <f t="shared" si="5"/>
        <v>0</v>
      </c>
      <c r="X73" s="435">
        <v>1073</v>
      </c>
      <c r="Y73" s="238"/>
      <c r="Z73" s="245"/>
      <c r="AA73" s="512"/>
      <c r="AB73" s="180"/>
      <c r="AC73" s="245"/>
      <c r="AD73" s="247"/>
      <c r="AE73" s="247"/>
      <c r="AN73" s="394"/>
      <c r="AX73" s="460"/>
    </row>
    <row r="74" spans="1:50" ht="41.25" customHeight="1">
      <c r="A74" s="132" t="s">
        <v>180</v>
      </c>
      <c r="B74" s="133">
        <v>1080</v>
      </c>
      <c r="C74" s="135">
        <f t="shared" ref="C74:J74" si="30">SUM(C75:C96)</f>
        <v>5302.6</v>
      </c>
      <c r="D74" s="135">
        <f t="shared" si="30"/>
        <v>8238.5</v>
      </c>
      <c r="E74" s="135">
        <f t="shared" si="30"/>
        <v>8337</v>
      </c>
      <c r="F74" s="135">
        <f t="shared" si="30"/>
        <v>9196.4</v>
      </c>
      <c r="G74" s="135">
        <f t="shared" si="30"/>
        <v>2346.7000000000003</v>
      </c>
      <c r="H74" s="135">
        <f t="shared" si="30"/>
        <v>2278.4</v>
      </c>
      <c r="I74" s="135">
        <f t="shared" si="30"/>
        <v>2312.6</v>
      </c>
      <c r="J74" s="135">
        <f t="shared" si="30"/>
        <v>2258.7000000000003</v>
      </c>
      <c r="K74" s="246"/>
      <c r="L74" s="608">
        <v>1080</v>
      </c>
      <c r="M74" s="141">
        <f>M80+M81+M82+M83+M93+M96</f>
        <v>1880.5</v>
      </c>
      <c r="N74" s="139">
        <f>N80+N82+N83+N96+N81</f>
        <v>1538.6</v>
      </c>
      <c r="O74" s="246"/>
      <c r="P74" s="453">
        <f t="shared" ref="P74:P105" si="31">T74-N74</f>
        <v>1266.5000000000005</v>
      </c>
      <c r="R74" s="149">
        <v>1080</v>
      </c>
      <c r="S74" s="141">
        <f>S80+S81+S82+S83+S93+S96</f>
        <v>3995.8999999999996</v>
      </c>
      <c r="T74" s="141">
        <f>T80+T81+T82+T83+T93+T96</f>
        <v>2805.1000000000004</v>
      </c>
      <c r="U74" s="27"/>
      <c r="V74" s="139">
        <f t="shared" si="5"/>
        <v>3043.2999999999993</v>
      </c>
      <c r="X74" s="149">
        <v>1080</v>
      </c>
      <c r="Y74" s="141">
        <f>Y80+Y81+Y82+Y83+Y93+Y96</f>
        <v>6108.9999999999991</v>
      </c>
      <c r="Z74" s="135">
        <f t="shared" ref="Z74" si="32">SUM(Z75:Z96)</f>
        <v>8238.5</v>
      </c>
      <c r="AA74" s="506">
        <f>AA80+AA81+AA82+AA83+AA93+AA96</f>
        <v>5848.4</v>
      </c>
      <c r="AC74" s="135">
        <f t="shared" ref="AC74" si="33">SUM(AC75:AC96)</f>
        <v>8332.0590829782104</v>
      </c>
      <c r="AD74" s="246"/>
      <c r="AE74" s="246"/>
    </row>
    <row r="75" spans="1:50" ht="20.100000000000001" customHeight="1">
      <c r="A75" s="8" t="s">
        <v>93</v>
      </c>
      <c r="B75" s="9">
        <v>1081</v>
      </c>
      <c r="C75" s="146"/>
      <c r="D75" s="146"/>
      <c r="E75" s="146"/>
      <c r="F75" s="141">
        <f t="shared" ref="F75:F95" si="34">G75+H75+I75+J75</f>
        <v>0</v>
      </c>
      <c r="G75" s="131"/>
      <c r="H75" s="131"/>
      <c r="I75" s="131"/>
      <c r="J75" s="131"/>
      <c r="K75" s="237"/>
      <c r="L75" s="605">
        <v>1081</v>
      </c>
      <c r="M75" s="103"/>
      <c r="N75" s="412"/>
      <c r="O75" s="237"/>
      <c r="P75" s="453">
        <f t="shared" si="31"/>
        <v>0</v>
      </c>
      <c r="R75" s="150">
        <v>1081</v>
      </c>
      <c r="S75" s="103"/>
      <c r="T75" s="131"/>
      <c r="U75" s="446"/>
      <c r="V75" s="139">
        <f t="shared" ref="V75:V138" si="35">AA75-T75</f>
        <v>0</v>
      </c>
      <c r="X75" s="150">
        <v>1081</v>
      </c>
      <c r="Y75" s="103"/>
      <c r="Z75" s="146"/>
      <c r="AA75" s="513"/>
      <c r="AC75" s="146"/>
      <c r="AD75" s="445"/>
      <c r="AE75" s="445"/>
    </row>
    <row r="76" spans="1:50" ht="20.100000000000001" customHeight="1">
      <c r="A76" s="8" t="s">
        <v>171</v>
      </c>
      <c r="B76" s="9">
        <v>1082</v>
      </c>
      <c r="C76" s="146"/>
      <c r="D76" s="146"/>
      <c r="E76" s="146"/>
      <c r="F76" s="141">
        <f t="shared" si="34"/>
        <v>0</v>
      </c>
      <c r="G76" s="131"/>
      <c r="H76" s="131"/>
      <c r="I76" s="131"/>
      <c r="J76" s="131"/>
      <c r="K76" s="237"/>
      <c r="L76" s="605">
        <v>1082</v>
      </c>
      <c r="M76" s="103"/>
      <c r="N76" s="412"/>
      <c r="O76" s="237"/>
      <c r="P76" s="453">
        <f t="shared" si="31"/>
        <v>0</v>
      </c>
      <c r="R76" s="150">
        <v>1082</v>
      </c>
      <c r="S76" s="103"/>
      <c r="T76" s="131"/>
      <c r="U76" s="446"/>
      <c r="V76" s="139">
        <f t="shared" si="35"/>
        <v>0</v>
      </c>
      <c r="X76" s="150">
        <v>1082</v>
      </c>
      <c r="Y76" s="103"/>
      <c r="Z76" s="146"/>
      <c r="AA76" s="513"/>
      <c r="AC76" s="146"/>
      <c r="AD76" s="445"/>
      <c r="AE76" s="445"/>
    </row>
    <row r="77" spans="1:50" ht="20.100000000000001" customHeight="1">
      <c r="A77" s="8" t="s">
        <v>50</v>
      </c>
      <c r="B77" s="9">
        <v>1083</v>
      </c>
      <c r="C77" s="146"/>
      <c r="D77" s="146"/>
      <c r="E77" s="146"/>
      <c r="F77" s="141">
        <f t="shared" si="34"/>
        <v>0</v>
      </c>
      <c r="G77" s="131"/>
      <c r="H77" s="131"/>
      <c r="I77" s="131"/>
      <c r="J77" s="131"/>
      <c r="K77" s="237"/>
      <c r="L77" s="605">
        <v>1083</v>
      </c>
      <c r="M77" s="103"/>
      <c r="N77" s="412"/>
      <c r="O77" s="237"/>
      <c r="P77" s="453">
        <f t="shared" si="31"/>
        <v>0</v>
      </c>
      <c r="R77" s="150">
        <v>1083</v>
      </c>
      <c r="S77" s="103"/>
      <c r="T77" s="131"/>
      <c r="U77" s="446"/>
      <c r="V77" s="139">
        <f t="shared" si="35"/>
        <v>0</v>
      </c>
      <c r="X77" s="150">
        <v>1083</v>
      </c>
      <c r="Y77" s="103"/>
      <c r="Z77" s="146"/>
      <c r="AA77" s="513"/>
      <c r="AC77" s="146"/>
      <c r="AD77" s="445"/>
      <c r="AE77" s="445"/>
    </row>
    <row r="78" spans="1:50" ht="20.100000000000001" customHeight="1">
      <c r="A78" s="8" t="s">
        <v>10</v>
      </c>
      <c r="B78" s="9">
        <v>1084</v>
      </c>
      <c r="C78" s="146"/>
      <c r="D78" s="146"/>
      <c r="E78" s="146"/>
      <c r="F78" s="141">
        <f t="shared" si="34"/>
        <v>0</v>
      </c>
      <c r="G78" s="131"/>
      <c r="H78" s="131"/>
      <c r="I78" s="131"/>
      <c r="J78" s="131"/>
      <c r="K78" s="237"/>
      <c r="L78" s="605">
        <v>1084</v>
      </c>
      <c r="M78" s="103"/>
      <c r="N78" s="412"/>
      <c r="O78" s="237"/>
      <c r="P78" s="453">
        <f t="shared" si="31"/>
        <v>0</v>
      </c>
      <c r="R78" s="150">
        <v>1084</v>
      </c>
      <c r="S78" s="103"/>
      <c r="T78" s="131"/>
      <c r="U78" s="446"/>
      <c r="V78" s="139">
        <f t="shared" si="35"/>
        <v>0</v>
      </c>
      <c r="X78" s="150">
        <v>1084</v>
      </c>
      <c r="Y78" s="103"/>
      <c r="Z78" s="146"/>
      <c r="AA78" s="513"/>
      <c r="AC78" s="146"/>
      <c r="AD78" s="445"/>
      <c r="AE78" s="445"/>
    </row>
    <row r="79" spans="1:50" ht="20.100000000000001" customHeight="1">
      <c r="A79" s="8" t="s">
        <v>11</v>
      </c>
      <c r="B79" s="9">
        <v>1085</v>
      </c>
      <c r="C79" s="146"/>
      <c r="D79" s="146"/>
      <c r="E79" s="146"/>
      <c r="F79" s="141">
        <f t="shared" si="34"/>
        <v>0</v>
      </c>
      <c r="G79" s="230"/>
      <c r="H79" s="230"/>
      <c r="I79" s="230"/>
      <c r="J79" s="230"/>
      <c r="K79" s="237"/>
      <c r="L79" s="605">
        <v>1085</v>
      </c>
      <c r="M79" s="103"/>
      <c r="N79" s="412"/>
      <c r="O79" s="237"/>
      <c r="P79" s="453">
        <f t="shared" si="31"/>
        <v>0</v>
      </c>
      <c r="R79" s="150">
        <v>1085</v>
      </c>
      <c r="S79" s="103"/>
      <c r="T79" s="131"/>
      <c r="U79" s="446"/>
      <c r="V79" s="139">
        <f t="shared" si="35"/>
        <v>0</v>
      </c>
      <c r="X79" s="150">
        <v>1085</v>
      </c>
      <c r="Y79" s="103"/>
      <c r="Z79" s="146"/>
      <c r="AA79" s="513"/>
      <c r="AC79" s="146"/>
      <c r="AD79" s="445"/>
      <c r="AE79" s="445"/>
    </row>
    <row r="80" spans="1:50" s="2" customFormat="1" ht="20.100000000000001" customHeight="1">
      <c r="A80" s="8" t="s">
        <v>25</v>
      </c>
      <c r="B80" s="9">
        <v>1086</v>
      </c>
      <c r="C80" s="103">
        <v>18.899999999999999</v>
      </c>
      <c r="D80" s="146">
        <v>32</v>
      </c>
      <c r="E80" s="146">
        <v>9.3000000000000007</v>
      </c>
      <c r="F80" s="141">
        <f t="shared" si="34"/>
        <v>49</v>
      </c>
      <c r="G80" s="244">
        <v>7</v>
      </c>
      <c r="H80" s="244">
        <v>30</v>
      </c>
      <c r="I80" s="244">
        <v>6</v>
      </c>
      <c r="J80" s="244">
        <v>6</v>
      </c>
      <c r="K80" s="248"/>
      <c r="L80" s="605">
        <v>1086</v>
      </c>
      <c r="M80" s="103">
        <v>12</v>
      </c>
      <c r="N80" s="462">
        <v>6.7</v>
      </c>
      <c r="O80" s="442"/>
      <c r="P80" s="453">
        <f t="shared" si="31"/>
        <v>1.6000000000000005</v>
      </c>
      <c r="R80" s="150">
        <v>1086</v>
      </c>
      <c r="S80" s="103">
        <v>20</v>
      </c>
      <c r="T80" s="147">
        <v>8.3000000000000007</v>
      </c>
      <c r="U80" s="441"/>
      <c r="V80" s="139">
        <f t="shared" si="35"/>
        <v>0</v>
      </c>
      <c r="X80" s="150">
        <v>1086</v>
      </c>
      <c r="Y80" s="103">
        <v>26</v>
      </c>
      <c r="Z80" s="146">
        <v>32</v>
      </c>
      <c r="AA80" s="508">
        <v>8.3000000000000007</v>
      </c>
      <c r="AB80" s="16"/>
      <c r="AC80" s="258">
        <v>9.3000000000000007</v>
      </c>
      <c r="AD80" s="445"/>
      <c r="AE80" s="445"/>
      <c r="AG80" s="710" t="s">
        <v>487</v>
      </c>
      <c r="AH80" s="710"/>
      <c r="AI80" s="2" t="s">
        <v>480</v>
      </c>
      <c r="AN80" s="125"/>
      <c r="AX80" s="241"/>
    </row>
    <row r="81" spans="1:50" s="2" customFormat="1" ht="20.100000000000001" customHeight="1">
      <c r="A81" s="8" t="s">
        <v>26</v>
      </c>
      <c r="B81" s="9">
        <v>1087</v>
      </c>
      <c r="C81" s="103">
        <v>19.2</v>
      </c>
      <c r="D81" s="146">
        <v>30</v>
      </c>
      <c r="E81" s="146">
        <v>37.299999999999997</v>
      </c>
      <c r="F81" s="141">
        <f t="shared" si="34"/>
        <v>40</v>
      </c>
      <c r="G81" s="244">
        <v>10</v>
      </c>
      <c r="H81" s="244">
        <v>10</v>
      </c>
      <c r="I81" s="244">
        <v>10</v>
      </c>
      <c r="J81" s="244">
        <v>10</v>
      </c>
      <c r="K81" s="248"/>
      <c r="L81" s="605">
        <v>1087</v>
      </c>
      <c r="M81" s="103">
        <v>7.5</v>
      </c>
      <c r="N81" s="462">
        <v>8.6</v>
      </c>
      <c r="O81" s="442"/>
      <c r="P81" s="453">
        <f t="shared" si="31"/>
        <v>9.5000000000000018</v>
      </c>
      <c r="R81" s="150">
        <v>1087</v>
      </c>
      <c r="S81" s="103">
        <v>15</v>
      </c>
      <c r="T81" s="147">
        <v>18.100000000000001</v>
      </c>
      <c r="U81" s="441"/>
      <c r="V81" s="139">
        <f t="shared" si="35"/>
        <v>9.7999999999999972</v>
      </c>
      <c r="X81" s="150">
        <v>1087</v>
      </c>
      <c r="Y81" s="103">
        <v>22.5</v>
      </c>
      <c r="Z81" s="146">
        <v>30</v>
      </c>
      <c r="AA81" s="508">
        <v>27.9</v>
      </c>
      <c r="AB81" s="16"/>
      <c r="AC81" s="146">
        <v>37.299999999999997</v>
      </c>
      <c r="AD81" s="445"/>
      <c r="AG81" s="2" t="s">
        <v>486</v>
      </c>
      <c r="AI81" s="2" t="s">
        <v>431</v>
      </c>
      <c r="AN81" s="125"/>
      <c r="AX81" s="241"/>
    </row>
    <row r="82" spans="1:50" s="2" customFormat="1" ht="20.100000000000001" customHeight="1">
      <c r="A82" s="8" t="s">
        <v>27</v>
      </c>
      <c r="B82" s="9">
        <v>1088</v>
      </c>
      <c r="C82" s="103">
        <v>4389.3999999999996</v>
      </c>
      <c r="D82" s="258">
        <v>6848.2</v>
      </c>
      <c r="E82" s="258">
        <v>6923.2</v>
      </c>
      <c r="F82" s="141">
        <f t="shared" si="34"/>
        <v>7619.5</v>
      </c>
      <c r="G82" s="244">
        <v>1942.1</v>
      </c>
      <c r="H82" s="244">
        <v>1878.4</v>
      </c>
      <c r="I82" s="244">
        <v>1927.7</v>
      </c>
      <c r="J82" s="244">
        <v>1871.3</v>
      </c>
      <c r="K82" s="248"/>
      <c r="L82" s="605">
        <v>1088</v>
      </c>
      <c r="M82" s="430">
        <v>1555.3</v>
      </c>
      <c r="N82" s="463">
        <v>1273.2</v>
      </c>
      <c r="O82" s="443"/>
      <c r="P82" s="453">
        <f t="shared" si="31"/>
        <v>1113.6000000000001</v>
      </c>
      <c r="R82" s="150">
        <v>1088</v>
      </c>
      <c r="S82" s="430">
        <v>3319.6</v>
      </c>
      <c r="T82" s="428">
        <v>2386.8000000000002</v>
      </c>
      <c r="U82" s="443"/>
      <c r="V82" s="139">
        <f t="shared" si="35"/>
        <v>2500.6999999999998</v>
      </c>
      <c r="X82" s="150">
        <v>1088</v>
      </c>
      <c r="Y82" s="438">
        <v>5083.8999999999996</v>
      </c>
      <c r="Z82" s="258">
        <v>6848.2</v>
      </c>
      <c r="AA82" s="509">
        <v>4887.5</v>
      </c>
      <c r="AB82" s="16"/>
      <c r="AC82" s="535">
        <f>AM86</f>
        <v>6923.2186435868325</v>
      </c>
      <c r="AD82" s="445"/>
      <c r="AG82" s="241">
        <v>19310.599999999999</v>
      </c>
      <c r="AH82" s="565">
        <f>(AG82-1850)+4.3</f>
        <v>17464.899999999998</v>
      </c>
      <c r="AI82" s="241">
        <v>6848.2</v>
      </c>
      <c r="AJ82" s="565">
        <f>AI82-1850</f>
        <v>4998.2</v>
      </c>
      <c r="AK82" s="241">
        <f>AG82+AI82</f>
        <v>26158.799999999999</v>
      </c>
      <c r="AL82" s="565">
        <f>AH82+AJ82</f>
        <v>22463.1</v>
      </c>
      <c r="AM82" s="241">
        <f>AK82-AL82</f>
        <v>3695.7000000000007</v>
      </c>
      <c r="AN82" s="125"/>
      <c r="AO82" s="241">
        <f>AM82+AM83</f>
        <v>4394.7218278758055</v>
      </c>
      <c r="AX82" s="241"/>
    </row>
    <row r="83" spans="1:50" s="2" customFormat="1" ht="20.100000000000001" customHeight="1">
      <c r="A83" s="8" t="s">
        <v>28</v>
      </c>
      <c r="B83" s="9">
        <v>1089</v>
      </c>
      <c r="C83" s="103">
        <v>829.5</v>
      </c>
      <c r="D83" s="258">
        <v>1284.2</v>
      </c>
      <c r="E83" s="258">
        <v>1323.5</v>
      </c>
      <c r="F83" s="141">
        <f t="shared" si="34"/>
        <v>1445.3</v>
      </c>
      <c r="G83" s="244">
        <v>368.3</v>
      </c>
      <c r="H83" s="244">
        <v>356.3</v>
      </c>
      <c r="I83" s="244">
        <v>365.7</v>
      </c>
      <c r="J83" s="244">
        <v>355</v>
      </c>
      <c r="K83" s="248"/>
      <c r="L83" s="605">
        <v>1089</v>
      </c>
      <c r="M83" s="430">
        <v>291.8</v>
      </c>
      <c r="N83" s="463">
        <v>235</v>
      </c>
      <c r="O83" s="443"/>
      <c r="P83" s="453">
        <f t="shared" si="31"/>
        <v>135.30000000000001</v>
      </c>
      <c r="R83" s="150">
        <v>1089</v>
      </c>
      <c r="S83" s="430">
        <v>622.6</v>
      </c>
      <c r="T83" s="428">
        <v>370.3</v>
      </c>
      <c r="U83" s="443"/>
      <c r="V83" s="139">
        <f t="shared" si="35"/>
        <v>530.90000000000009</v>
      </c>
      <c r="X83" s="150">
        <v>1089</v>
      </c>
      <c r="Y83" s="438">
        <v>953.4</v>
      </c>
      <c r="Z83" s="258">
        <v>1284.2</v>
      </c>
      <c r="AA83" s="509">
        <v>901.2</v>
      </c>
      <c r="AB83" s="16"/>
      <c r="AC83" s="535">
        <f>AM89</f>
        <v>1323.5404393913773</v>
      </c>
      <c r="AD83" s="445"/>
      <c r="AG83" s="241">
        <v>3675.5</v>
      </c>
      <c r="AH83" s="565">
        <f>AH82*AG84</f>
        <v>3324.1970705208537</v>
      </c>
      <c r="AI83" s="241">
        <v>1284.2</v>
      </c>
      <c r="AJ83" s="565">
        <f>(AJ82*AI84)-0.8</f>
        <v>936.48110160334113</v>
      </c>
      <c r="AK83" s="241">
        <f>AG83+AI83</f>
        <v>4959.7</v>
      </c>
      <c r="AL83" s="565">
        <f>(AH83+AJ83)</f>
        <v>4260.678172124195</v>
      </c>
      <c r="AM83" s="241">
        <f>AK83-AL83</f>
        <v>699.02182787580477</v>
      </c>
      <c r="AN83" s="125"/>
      <c r="AX83" s="241"/>
    </row>
    <row r="84" spans="1:50" s="2" customFormat="1" ht="42" customHeight="1">
      <c r="A84" s="8" t="s">
        <v>29</v>
      </c>
      <c r="B84" s="9">
        <v>1090</v>
      </c>
      <c r="C84" s="103"/>
      <c r="D84" s="258"/>
      <c r="E84" s="258"/>
      <c r="F84" s="238">
        <f t="shared" si="34"/>
        <v>0</v>
      </c>
      <c r="G84" s="264"/>
      <c r="H84" s="264"/>
      <c r="I84" s="244"/>
      <c r="J84" s="244"/>
      <c r="K84" s="248"/>
      <c r="L84" s="605">
        <v>1090</v>
      </c>
      <c r="M84" s="147"/>
      <c r="N84" s="462"/>
      <c r="O84" s="442"/>
      <c r="P84" s="453">
        <f t="shared" si="31"/>
        <v>0</v>
      </c>
      <c r="R84" s="150">
        <v>1090</v>
      </c>
      <c r="S84" s="147"/>
      <c r="T84" s="147"/>
      <c r="U84" s="441"/>
      <c r="V84" s="139">
        <f t="shared" si="35"/>
        <v>0</v>
      </c>
      <c r="X84" s="150">
        <v>1090</v>
      </c>
      <c r="Y84" s="147"/>
      <c r="Z84" s="258"/>
      <c r="AA84" s="508"/>
      <c r="AB84" s="16"/>
      <c r="AC84" s="258"/>
      <c r="AD84" s="445"/>
      <c r="AG84" s="2">
        <f>AG83/AG82</f>
        <v>0.19033587770447322</v>
      </c>
      <c r="AH84" s="2">
        <f t="shared" ref="AH84:AJ84" si="36">AH83/AH82</f>
        <v>0.19033587770447322</v>
      </c>
      <c r="AI84" s="2">
        <f t="shared" si="36"/>
        <v>0.18752372886305893</v>
      </c>
      <c r="AJ84" s="2">
        <f t="shared" si="36"/>
        <v>0.18736367124231545</v>
      </c>
      <c r="AK84" s="2">
        <f>AK83/AK82</f>
        <v>0.18959967582610823</v>
      </c>
      <c r="AL84" s="2">
        <f>AL83/AL82</f>
        <v>0.18967454056315447</v>
      </c>
      <c r="AN84" s="125"/>
      <c r="AX84" s="241"/>
    </row>
    <row r="85" spans="1:50" s="2" customFormat="1" ht="42" customHeight="1">
      <c r="A85" s="8" t="s">
        <v>30</v>
      </c>
      <c r="B85" s="9">
        <v>1091</v>
      </c>
      <c r="C85" s="103"/>
      <c r="D85" s="146"/>
      <c r="E85" s="146"/>
      <c r="F85" s="141">
        <f t="shared" si="34"/>
        <v>0</v>
      </c>
      <c r="G85" s="147"/>
      <c r="H85" s="147"/>
      <c r="I85" s="103"/>
      <c r="J85" s="103"/>
      <c r="K85" s="248"/>
      <c r="L85" s="605">
        <v>1091</v>
      </c>
      <c r="M85" s="147"/>
      <c r="N85" s="462"/>
      <c r="O85" s="442"/>
      <c r="P85" s="453">
        <f t="shared" si="31"/>
        <v>0</v>
      </c>
      <c r="R85" s="150">
        <v>1091</v>
      </c>
      <c r="S85" s="147"/>
      <c r="T85" s="147"/>
      <c r="U85" s="441"/>
      <c r="V85" s="139">
        <f t="shared" si="35"/>
        <v>0</v>
      </c>
      <c r="X85" s="150">
        <v>1091</v>
      </c>
      <c r="Y85" s="147"/>
      <c r="Z85" s="146"/>
      <c r="AA85" s="508"/>
      <c r="AB85" s="16"/>
      <c r="AC85" s="146"/>
      <c r="AD85" s="445"/>
      <c r="AE85" s="445"/>
      <c r="AN85" s="125"/>
      <c r="AX85" s="241"/>
    </row>
    <row r="86" spans="1:50" s="2" customFormat="1" ht="20.100000000000001" customHeight="1">
      <c r="A86" s="8" t="s">
        <v>31</v>
      </c>
      <c r="B86" s="9">
        <v>1092</v>
      </c>
      <c r="C86" s="103"/>
      <c r="D86" s="146"/>
      <c r="E86" s="146"/>
      <c r="F86" s="141">
        <f t="shared" si="34"/>
        <v>0</v>
      </c>
      <c r="G86" s="147"/>
      <c r="H86" s="147"/>
      <c r="I86" s="103"/>
      <c r="J86" s="103"/>
      <c r="K86" s="248"/>
      <c r="L86" s="605">
        <v>1092</v>
      </c>
      <c r="M86" s="147"/>
      <c r="N86" s="462"/>
      <c r="O86" s="442"/>
      <c r="P86" s="453">
        <f t="shared" si="31"/>
        <v>0</v>
      </c>
      <c r="R86" s="150">
        <v>1092</v>
      </c>
      <c r="S86" s="147"/>
      <c r="T86" s="147"/>
      <c r="U86" s="441"/>
      <c r="V86" s="139">
        <f t="shared" si="35"/>
        <v>0</v>
      </c>
      <c r="X86" s="150">
        <v>1092</v>
      </c>
      <c r="Y86" s="147"/>
      <c r="Z86" s="146"/>
      <c r="AA86" s="508"/>
      <c r="AB86" s="16"/>
      <c r="AC86" s="146"/>
      <c r="AD86" s="445"/>
      <c r="AE86" s="445"/>
      <c r="AG86" s="2">
        <f>10970.5+4887.5</f>
        <v>15858</v>
      </c>
      <c r="AH86" s="2">
        <v>10970.5</v>
      </c>
      <c r="AI86" s="2">
        <v>4887.5</v>
      </c>
      <c r="AK86" s="241">
        <f>AL82</f>
        <v>22463.1</v>
      </c>
      <c r="AL86" s="241">
        <f>AK86*AH87</f>
        <v>15539.881356413167</v>
      </c>
      <c r="AM86" s="241">
        <f>AK86*AI87</f>
        <v>6923.2186435868325</v>
      </c>
      <c r="AN86" s="565"/>
      <c r="AO86" s="241">
        <f>AK86-AG86</f>
        <v>6605.0999999999985</v>
      </c>
      <c r="AX86" s="241"/>
    </row>
    <row r="87" spans="1:50" s="2" customFormat="1" ht="20.100000000000001" customHeight="1">
      <c r="A87" s="8" t="s">
        <v>32</v>
      </c>
      <c r="B87" s="9">
        <v>1093</v>
      </c>
      <c r="C87" s="103"/>
      <c r="D87" s="146"/>
      <c r="E87" s="146"/>
      <c r="F87" s="141">
        <f t="shared" si="34"/>
        <v>0</v>
      </c>
      <c r="G87" s="147"/>
      <c r="H87" s="147"/>
      <c r="I87" s="103"/>
      <c r="J87" s="103"/>
      <c r="K87" s="248"/>
      <c r="L87" s="605">
        <v>1093</v>
      </c>
      <c r="M87" s="147"/>
      <c r="N87" s="462"/>
      <c r="O87" s="442"/>
      <c r="P87" s="453">
        <f t="shared" si="31"/>
        <v>0</v>
      </c>
      <c r="R87" s="150">
        <v>1093</v>
      </c>
      <c r="S87" s="147"/>
      <c r="T87" s="147"/>
      <c r="U87" s="441"/>
      <c r="V87" s="139">
        <f t="shared" si="35"/>
        <v>0</v>
      </c>
      <c r="X87" s="150">
        <v>1093</v>
      </c>
      <c r="Y87" s="147"/>
      <c r="Z87" s="146"/>
      <c r="AA87" s="508"/>
      <c r="AB87" s="16"/>
      <c r="AC87" s="146"/>
      <c r="AD87" s="445"/>
      <c r="AE87" s="445"/>
      <c r="AH87" s="564">
        <f>AH86/AG86</f>
        <v>0.69179593895825453</v>
      </c>
      <c r="AI87" s="564">
        <f>AI86/AG86</f>
        <v>0.30820406104174547</v>
      </c>
      <c r="AK87" s="241"/>
      <c r="AL87" s="564">
        <f>AL86/AK86</f>
        <v>0.69179593895825453</v>
      </c>
      <c r="AM87" s="564">
        <f>AM86/AK86</f>
        <v>0.30820406104174547</v>
      </c>
      <c r="AN87" s="565"/>
      <c r="AO87" s="241"/>
      <c r="AX87" s="241"/>
    </row>
    <row r="88" spans="1:50" s="2" customFormat="1" ht="20.100000000000001" customHeight="1">
      <c r="A88" s="8" t="s">
        <v>33</v>
      </c>
      <c r="B88" s="9">
        <v>1094</v>
      </c>
      <c r="C88" s="103"/>
      <c r="D88" s="146"/>
      <c r="E88" s="146"/>
      <c r="F88" s="141">
        <f t="shared" si="34"/>
        <v>0</v>
      </c>
      <c r="G88" s="147"/>
      <c r="H88" s="147"/>
      <c r="I88" s="103"/>
      <c r="J88" s="103"/>
      <c r="K88" s="248"/>
      <c r="L88" s="605">
        <v>1094</v>
      </c>
      <c r="M88" s="147"/>
      <c r="N88" s="462"/>
      <c r="O88" s="442"/>
      <c r="P88" s="453">
        <f t="shared" si="31"/>
        <v>0</v>
      </c>
      <c r="R88" s="150">
        <v>1094</v>
      </c>
      <c r="S88" s="147"/>
      <c r="T88" s="147"/>
      <c r="U88" s="441"/>
      <c r="V88" s="139">
        <f t="shared" si="35"/>
        <v>0</v>
      </c>
      <c r="X88" s="150">
        <v>1094</v>
      </c>
      <c r="Y88" s="147"/>
      <c r="Z88" s="146"/>
      <c r="AA88" s="508"/>
      <c r="AB88" s="16"/>
      <c r="AC88" s="146"/>
      <c r="AD88" s="445"/>
      <c r="AE88" s="445"/>
      <c r="AK88" s="241"/>
      <c r="AL88" s="241"/>
      <c r="AM88" s="241"/>
      <c r="AN88" s="565"/>
      <c r="AO88" s="241"/>
      <c r="AX88" s="241"/>
    </row>
    <row r="89" spans="1:50" s="2" customFormat="1" ht="20.100000000000001" customHeight="1">
      <c r="A89" s="8" t="s">
        <v>54</v>
      </c>
      <c r="B89" s="9">
        <v>1095</v>
      </c>
      <c r="C89" s="103"/>
      <c r="D89" s="146"/>
      <c r="E89" s="146"/>
      <c r="F89" s="141">
        <f t="shared" si="34"/>
        <v>0</v>
      </c>
      <c r="G89" s="147"/>
      <c r="H89" s="147"/>
      <c r="I89" s="103"/>
      <c r="J89" s="103"/>
      <c r="K89" s="248"/>
      <c r="L89" s="605">
        <v>1095</v>
      </c>
      <c r="M89" s="147"/>
      <c r="N89" s="462"/>
      <c r="O89" s="442"/>
      <c r="P89" s="453">
        <f t="shared" si="31"/>
        <v>0</v>
      </c>
      <c r="R89" s="150">
        <v>1095</v>
      </c>
      <c r="S89" s="147"/>
      <c r="T89" s="147"/>
      <c r="U89" s="441"/>
      <c r="V89" s="139">
        <f t="shared" si="35"/>
        <v>0</v>
      </c>
      <c r="X89" s="150">
        <v>1095</v>
      </c>
      <c r="Y89" s="147"/>
      <c r="Z89" s="146"/>
      <c r="AA89" s="508"/>
      <c r="AB89" s="16"/>
      <c r="AC89" s="146"/>
      <c r="AD89" s="445"/>
      <c r="AE89" s="445"/>
      <c r="AG89" s="2">
        <f>1999.9+901.2</f>
        <v>2901.1000000000004</v>
      </c>
      <c r="AH89" s="2">
        <v>1999.9</v>
      </c>
      <c r="AI89" s="2">
        <v>901.2</v>
      </c>
      <c r="AK89" s="241">
        <f>AL83</f>
        <v>4260.678172124195</v>
      </c>
      <c r="AL89" s="241">
        <f>AK89*AH90</f>
        <v>2937.1377327328173</v>
      </c>
      <c r="AM89" s="241">
        <f>AK89*AI90</f>
        <v>1323.5404393913773</v>
      </c>
      <c r="AN89" s="565"/>
      <c r="AO89" s="241"/>
      <c r="AX89" s="241"/>
    </row>
    <row r="90" spans="1:50" s="2" customFormat="1" ht="20.100000000000001" customHeight="1">
      <c r="A90" s="8" t="s">
        <v>34</v>
      </c>
      <c r="B90" s="9">
        <v>1096</v>
      </c>
      <c r="C90" s="103"/>
      <c r="D90" s="146"/>
      <c r="E90" s="146"/>
      <c r="F90" s="141">
        <f t="shared" si="34"/>
        <v>0</v>
      </c>
      <c r="G90" s="147"/>
      <c r="H90" s="147"/>
      <c r="I90" s="103"/>
      <c r="J90" s="103"/>
      <c r="K90" s="248"/>
      <c r="L90" s="605">
        <v>1096</v>
      </c>
      <c r="M90" s="147"/>
      <c r="N90" s="462"/>
      <c r="O90" s="442"/>
      <c r="P90" s="453">
        <f t="shared" si="31"/>
        <v>0</v>
      </c>
      <c r="R90" s="150">
        <v>1096</v>
      </c>
      <c r="S90" s="147"/>
      <c r="T90" s="147"/>
      <c r="U90" s="441"/>
      <c r="V90" s="139">
        <f t="shared" si="35"/>
        <v>0</v>
      </c>
      <c r="X90" s="150">
        <v>1096</v>
      </c>
      <c r="Y90" s="147"/>
      <c r="Z90" s="146"/>
      <c r="AA90" s="508"/>
      <c r="AB90" s="16"/>
      <c r="AC90" s="146"/>
      <c r="AD90" s="445"/>
      <c r="AE90" s="445"/>
      <c r="AH90" s="564">
        <f>AH89/AG89</f>
        <v>0.68935920857605726</v>
      </c>
      <c r="AI90" s="564">
        <f>AI89/AG89</f>
        <v>0.31064079142394263</v>
      </c>
      <c r="AK90" s="241"/>
      <c r="AL90" s="241"/>
      <c r="AM90" s="241"/>
      <c r="AN90" s="565"/>
      <c r="AO90" s="241"/>
      <c r="AX90" s="241"/>
    </row>
    <row r="91" spans="1:50" s="2" customFormat="1" ht="20.100000000000001" customHeight="1">
      <c r="A91" s="8" t="s">
        <v>35</v>
      </c>
      <c r="B91" s="9">
        <v>1097</v>
      </c>
      <c r="C91" s="103"/>
      <c r="D91" s="146"/>
      <c r="E91" s="146"/>
      <c r="F91" s="141">
        <f t="shared" si="34"/>
        <v>0</v>
      </c>
      <c r="G91" s="147"/>
      <c r="H91" s="147"/>
      <c r="I91" s="103"/>
      <c r="J91" s="103"/>
      <c r="K91" s="248"/>
      <c r="L91" s="605">
        <v>1097</v>
      </c>
      <c r="M91" s="147"/>
      <c r="N91" s="462"/>
      <c r="O91" s="442"/>
      <c r="P91" s="453">
        <f t="shared" si="31"/>
        <v>0</v>
      </c>
      <c r="R91" s="150">
        <v>1097</v>
      </c>
      <c r="S91" s="147"/>
      <c r="T91" s="147"/>
      <c r="U91" s="441"/>
      <c r="V91" s="139">
        <f t="shared" si="35"/>
        <v>0</v>
      </c>
      <c r="X91" s="150">
        <v>1097</v>
      </c>
      <c r="Y91" s="147"/>
      <c r="Z91" s="146"/>
      <c r="AA91" s="508"/>
      <c r="AB91" s="16"/>
      <c r="AC91" s="146"/>
      <c r="AD91" s="445"/>
      <c r="AE91" s="445"/>
      <c r="AG91" s="2">
        <f>AG89/AG86</f>
        <v>0.18294236347584816</v>
      </c>
      <c r="AK91" s="566">
        <f>AK89/AK86</f>
        <v>0.18967454056315447</v>
      </c>
      <c r="AL91" s="241"/>
      <c r="AM91" s="241"/>
      <c r="AN91" s="565"/>
      <c r="AO91" s="241"/>
      <c r="AX91" s="241"/>
    </row>
    <row r="92" spans="1:50" s="2" customFormat="1" ht="20.100000000000001" customHeight="1">
      <c r="A92" s="8" t="s">
        <v>36</v>
      </c>
      <c r="B92" s="9">
        <v>1098</v>
      </c>
      <c r="C92" s="103"/>
      <c r="D92" s="146"/>
      <c r="E92" s="146"/>
      <c r="F92" s="141">
        <f t="shared" si="34"/>
        <v>0</v>
      </c>
      <c r="G92" s="147"/>
      <c r="H92" s="147"/>
      <c r="I92" s="103"/>
      <c r="J92" s="103"/>
      <c r="K92" s="248"/>
      <c r="L92" s="605">
        <v>1098</v>
      </c>
      <c r="M92" s="147"/>
      <c r="N92" s="462"/>
      <c r="O92" s="442"/>
      <c r="P92" s="453">
        <f t="shared" si="31"/>
        <v>0</v>
      </c>
      <c r="R92" s="150">
        <v>1098</v>
      </c>
      <c r="S92" s="147"/>
      <c r="T92" s="147"/>
      <c r="U92" s="441"/>
      <c r="V92" s="139">
        <f t="shared" si="35"/>
        <v>0</v>
      </c>
      <c r="X92" s="150">
        <v>1098</v>
      </c>
      <c r="Y92" s="147"/>
      <c r="Z92" s="146"/>
      <c r="AA92" s="508"/>
      <c r="AB92" s="16"/>
      <c r="AC92" s="146"/>
      <c r="AD92" s="445"/>
      <c r="AE92" s="445"/>
      <c r="AN92" s="125"/>
      <c r="AX92" s="241"/>
    </row>
    <row r="93" spans="1:50" s="2" customFormat="1" ht="20.100000000000001" customHeight="1">
      <c r="A93" s="8" t="s">
        <v>37</v>
      </c>
      <c r="B93" s="9">
        <v>1099</v>
      </c>
      <c r="C93" s="103"/>
      <c r="D93" s="146"/>
      <c r="E93" s="146"/>
      <c r="F93" s="141">
        <f t="shared" si="34"/>
        <v>0</v>
      </c>
      <c r="G93" s="147"/>
      <c r="H93" s="147"/>
      <c r="I93" s="103"/>
      <c r="J93" s="103"/>
      <c r="K93" s="248"/>
      <c r="L93" s="605">
        <v>1099</v>
      </c>
      <c r="M93" s="147"/>
      <c r="N93" s="462"/>
      <c r="O93" s="442"/>
      <c r="P93" s="453">
        <f t="shared" si="31"/>
        <v>0</v>
      </c>
      <c r="R93" s="150">
        <v>1099</v>
      </c>
      <c r="S93" s="147"/>
      <c r="T93" s="147"/>
      <c r="U93" s="441"/>
      <c r="V93" s="139">
        <f t="shared" si="35"/>
        <v>0</v>
      </c>
      <c r="X93" s="150">
        <v>1099</v>
      </c>
      <c r="Y93" s="147"/>
      <c r="Z93" s="146"/>
      <c r="AA93" s="508"/>
      <c r="AB93" s="16"/>
      <c r="AC93" s="146"/>
      <c r="AD93" s="445"/>
      <c r="AE93" s="445"/>
      <c r="AN93" s="125"/>
      <c r="AX93" s="241"/>
    </row>
    <row r="94" spans="1:50" s="2" customFormat="1" ht="42.75" customHeight="1">
      <c r="A94" s="8" t="s">
        <v>67</v>
      </c>
      <c r="B94" s="9">
        <v>1100</v>
      </c>
      <c r="C94" s="103"/>
      <c r="D94" s="146"/>
      <c r="E94" s="146"/>
      <c r="F94" s="141">
        <f t="shared" si="34"/>
        <v>0</v>
      </c>
      <c r="G94" s="147"/>
      <c r="H94" s="147"/>
      <c r="I94" s="103"/>
      <c r="J94" s="103"/>
      <c r="K94" s="248"/>
      <c r="L94" s="605">
        <v>1100</v>
      </c>
      <c r="M94" s="147"/>
      <c r="N94" s="462"/>
      <c r="O94" s="442"/>
      <c r="P94" s="453">
        <f t="shared" si="31"/>
        <v>0</v>
      </c>
      <c r="R94" s="150">
        <v>1100</v>
      </c>
      <c r="S94" s="147"/>
      <c r="T94" s="147"/>
      <c r="U94" s="441"/>
      <c r="V94" s="139">
        <f t="shared" si="35"/>
        <v>0</v>
      </c>
      <c r="X94" s="150">
        <v>1100</v>
      </c>
      <c r="Y94" s="147"/>
      <c r="Z94" s="146"/>
      <c r="AA94" s="508"/>
      <c r="AB94" s="16"/>
      <c r="AC94" s="146"/>
      <c r="AD94" s="445"/>
      <c r="AE94" s="445"/>
      <c r="AN94" s="125"/>
      <c r="AX94" s="241"/>
    </row>
    <row r="95" spans="1:50" s="2" customFormat="1" ht="20.100000000000001" customHeight="1">
      <c r="A95" s="8" t="s">
        <v>38</v>
      </c>
      <c r="B95" s="9">
        <v>1101</v>
      </c>
      <c r="C95" s="103"/>
      <c r="D95" s="146"/>
      <c r="E95" s="146"/>
      <c r="F95" s="141">
        <f t="shared" si="34"/>
        <v>0</v>
      </c>
      <c r="G95" s="147"/>
      <c r="H95" s="147"/>
      <c r="I95" s="103"/>
      <c r="J95" s="103"/>
      <c r="K95" s="248"/>
      <c r="L95" s="605">
        <v>1101</v>
      </c>
      <c r="M95" s="147"/>
      <c r="N95" s="462"/>
      <c r="O95" s="442"/>
      <c r="P95" s="453">
        <f t="shared" si="31"/>
        <v>0</v>
      </c>
      <c r="R95" s="150">
        <v>1101</v>
      </c>
      <c r="S95" s="147"/>
      <c r="T95" s="147"/>
      <c r="U95" s="441"/>
      <c r="V95" s="139">
        <f t="shared" si="35"/>
        <v>0</v>
      </c>
      <c r="X95" s="150">
        <v>1101</v>
      </c>
      <c r="Y95" s="147"/>
      <c r="Z95" s="146"/>
      <c r="AA95" s="508"/>
      <c r="AB95" s="16"/>
      <c r="AC95" s="146"/>
      <c r="AD95" s="445"/>
      <c r="AE95" s="445"/>
      <c r="AF95" s="416">
        <v>20120</v>
      </c>
      <c r="AG95" s="416">
        <v>24579.1</v>
      </c>
      <c r="AH95" s="589">
        <f>AG95*AH96</f>
        <v>16959.578999999998</v>
      </c>
      <c r="AI95" s="589">
        <f>AI96*AG95</f>
        <v>7619.5209999999997</v>
      </c>
      <c r="AK95" s="241"/>
      <c r="AL95" s="241"/>
      <c r="AM95" s="241"/>
      <c r="AN95" s="565"/>
      <c r="AO95" s="241"/>
      <c r="AX95" s="241"/>
    </row>
    <row r="96" spans="1:50" s="2" customFormat="1" ht="20.100000000000001" customHeight="1">
      <c r="A96" s="162" t="s">
        <v>390</v>
      </c>
      <c r="B96" s="163">
        <v>1102</v>
      </c>
      <c r="C96" s="164">
        <f t="shared" ref="C96:J96" si="37">C97+SUM(C102:C104)</f>
        <v>45.599999999999994</v>
      </c>
      <c r="D96" s="165">
        <f t="shared" si="37"/>
        <v>44.1</v>
      </c>
      <c r="E96" s="165">
        <f t="shared" si="37"/>
        <v>43.7</v>
      </c>
      <c r="F96" s="137">
        <f t="shared" si="37"/>
        <v>42.6</v>
      </c>
      <c r="G96" s="164">
        <f t="shared" si="37"/>
        <v>19.3</v>
      </c>
      <c r="H96" s="164">
        <f t="shared" si="37"/>
        <v>3.7</v>
      </c>
      <c r="I96" s="164">
        <f t="shared" si="37"/>
        <v>3.2</v>
      </c>
      <c r="J96" s="164">
        <f t="shared" si="37"/>
        <v>16.400000000000002</v>
      </c>
      <c r="K96" s="248"/>
      <c r="L96" s="605">
        <v>1102</v>
      </c>
      <c r="M96" s="429">
        <f>M97</f>
        <v>13.899999999999999</v>
      </c>
      <c r="N96" s="464">
        <f>N97</f>
        <v>15.1</v>
      </c>
      <c r="O96" s="448"/>
      <c r="P96" s="453">
        <f t="shared" si="31"/>
        <v>6.5000000000000018</v>
      </c>
      <c r="R96" s="150">
        <v>1102</v>
      </c>
      <c r="S96" s="429">
        <f>S97</f>
        <v>18.7</v>
      </c>
      <c r="T96" s="429">
        <f>T97</f>
        <v>21.6</v>
      </c>
      <c r="U96" s="444"/>
      <c r="V96" s="139">
        <f t="shared" si="35"/>
        <v>1.8999999999999986</v>
      </c>
      <c r="X96" s="150">
        <v>1102</v>
      </c>
      <c r="Y96" s="429">
        <f>Y97</f>
        <v>23.2</v>
      </c>
      <c r="Z96" s="165">
        <f t="shared" ref="Z96" si="38">Z97+SUM(Z102:Z104)</f>
        <v>44.1</v>
      </c>
      <c r="AA96" s="510">
        <f>AA97</f>
        <v>23.5</v>
      </c>
      <c r="AB96" s="16"/>
      <c r="AC96" s="165">
        <f t="shared" ref="AC96" si="39">AC97+SUM(AC102:AC104)</f>
        <v>38.699999999999996</v>
      </c>
      <c r="AD96" s="445"/>
      <c r="AE96" s="445"/>
      <c r="AF96" s="416"/>
      <c r="AG96" s="416"/>
      <c r="AH96" s="590">
        <v>0.69</v>
      </c>
      <c r="AI96" s="590">
        <v>0.31</v>
      </c>
      <c r="AK96" s="241"/>
      <c r="AL96" s="564"/>
      <c r="AM96" s="564"/>
      <c r="AN96" s="565"/>
      <c r="AO96" s="241"/>
      <c r="AX96" s="241"/>
    </row>
    <row r="97" spans="1:50" s="177" customFormat="1" ht="20.100000000000001" customHeight="1">
      <c r="A97" s="166" t="s">
        <v>357</v>
      </c>
      <c r="B97" s="174" t="s">
        <v>320</v>
      </c>
      <c r="C97" s="175">
        <f t="shared" ref="C97:J97" si="40">C99+C100+C101</f>
        <v>45.599999999999994</v>
      </c>
      <c r="D97" s="176">
        <f t="shared" si="40"/>
        <v>44.1</v>
      </c>
      <c r="E97" s="176">
        <f t="shared" si="40"/>
        <v>43.7</v>
      </c>
      <c r="F97" s="175">
        <f t="shared" si="40"/>
        <v>42.6</v>
      </c>
      <c r="G97" s="175">
        <f t="shared" si="40"/>
        <v>19.3</v>
      </c>
      <c r="H97" s="175">
        <f t="shared" si="40"/>
        <v>3.7</v>
      </c>
      <c r="I97" s="175">
        <f t="shared" si="40"/>
        <v>3.2</v>
      </c>
      <c r="J97" s="175">
        <f t="shared" si="40"/>
        <v>16.400000000000002</v>
      </c>
      <c r="K97" s="237"/>
      <c r="L97" s="606" t="s">
        <v>320</v>
      </c>
      <c r="M97" s="244">
        <f>M99+M100+M101</f>
        <v>13.899999999999999</v>
      </c>
      <c r="N97" s="454">
        <f>N99+N100+N101</f>
        <v>15.1</v>
      </c>
      <c r="O97" s="248"/>
      <c r="P97" s="453">
        <f t="shared" si="31"/>
        <v>6.5000000000000018</v>
      </c>
      <c r="R97" s="399" t="s">
        <v>320</v>
      </c>
      <c r="S97" s="244">
        <f>S99+S100+S101</f>
        <v>18.7</v>
      </c>
      <c r="T97" s="244">
        <f>T99+T100+T101</f>
        <v>21.6</v>
      </c>
      <c r="U97" s="248"/>
      <c r="V97" s="139">
        <f t="shared" si="35"/>
        <v>1.8999999999999986</v>
      </c>
      <c r="X97" s="399" t="s">
        <v>320</v>
      </c>
      <c r="Y97" s="244">
        <f>Y99+Y100+Y101</f>
        <v>23.2</v>
      </c>
      <c r="Z97" s="176">
        <f t="shared" ref="Z97" si="41">Z99+Z100+Z101</f>
        <v>44.1</v>
      </c>
      <c r="AA97" s="507">
        <f>AA99+AA100+AA101</f>
        <v>23.5</v>
      </c>
      <c r="AB97" s="180"/>
      <c r="AC97" s="176">
        <f t="shared" ref="AC97" si="42">AC99+AC100+AC101</f>
        <v>38.699999999999996</v>
      </c>
      <c r="AD97" s="572"/>
      <c r="AE97" s="572"/>
      <c r="AF97" s="417"/>
      <c r="AG97" s="416"/>
      <c r="AH97" s="416"/>
      <c r="AI97" s="416"/>
      <c r="AJ97" s="2"/>
      <c r="AK97" s="241"/>
      <c r="AL97" s="241"/>
      <c r="AM97" s="241"/>
      <c r="AN97" s="565"/>
      <c r="AO97" s="241"/>
      <c r="AP97" s="2"/>
      <c r="AX97" s="366"/>
    </row>
    <row r="98" spans="1:50" s="2" customFormat="1">
      <c r="A98" s="108" t="s">
        <v>301</v>
      </c>
      <c r="B98" s="9"/>
      <c r="C98" s="244"/>
      <c r="D98" s="146"/>
      <c r="E98" s="146"/>
      <c r="F98" s="141"/>
      <c r="G98" s="147"/>
      <c r="H98" s="147"/>
      <c r="I98" s="147"/>
      <c r="J98" s="147"/>
      <c r="K98" s="442"/>
      <c r="L98" s="605"/>
      <c r="M98" s="244"/>
      <c r="N98" s="462"/>
      <c r="O98" s="442"/>
      <c r="P98" s="453">
        <f t="shared" si="31"/>
        <v>0</v>
      </c>
      <c r="R98" s="150"/>
      <c r="S98" s="244"/>
      <c r="T98" s="147"/>
      <c r="U98" s="441"/>
      <c r="V98" s="139">
        <f t="shared" si="35"/>
        <v>0</v>
      </c>
      <c r="X98" s="150"/>
      <c r="Y98" s="244"/>
      <c r="Z98" s="146"/>
      <c r="AA98" s="508"/>
      <c r="AB98" s="16"/>
      <c r="AC98" s="146"/>
      <c r="AD98" s="445"/>
      <c r="AE98" s="445"/>
      <c r="AF98" s="416"/>
      <c r="AG98" s="416">
        <v>4661.8999999999996</v>
      </c>
      <c r="AH98" s="589">
        <f>AG98*AH96</f>
        <v>3216.7109999999993</v>
      </c>
      <c r="AI98" s="589">
        <f>AG98*AI96</f>
        <v>1445.1889999999999</v>
      </c>
      <c r="AK98" s="241"/>
      <c r="AL98" s="241"/>
      <c r="AM98" s="241"/>
      <c r="AN98" s="565"/>
      <c r="AO98" s="241"/>
      <c r="AX98" s="241"/>
    </row>
    <row r="99" spans="1:50" s="177" customFormat="1" ht="20.100000000000001" customHeight="1">
      <c r="A99" s="108" t="s">
        <v>302</v>
      </c>
      <c r="B99" s="173" t="s">
        <v>321</v>
      </c>
      <c r="C99" s="230">
        <v>31.5</v>
      </c>
      <c r="D99" s="172">
        <v>31.7</v>
      </c>
      <c r="E99" s="172">
        <v>33.700000000000003</v>
      </c>
      <c r="F99" s="131">
        <f t="shared" ref="F99:F104" si="43">G99+H99+I99+J99</f>
        <v>29.5</v>
      </c>
      <c r="G99" s="263">
        <v>14.9</v>
      </c>
      <c r="H99" s="263">
        <v>1.6</v>
      </c>
      <c r="I99" s="263">
        <v>1.1000000000000001</v>
      </c>
      <c r="J99" s="263">
        <v>11.9</v>
      </c>
      <c r="K99" s="447"/>
      <c r="L99" s="606" t="s">
        <v>321</v>
      </c>
      <c r="M99" s="244">
        <v>9.6</v>
      </c>
      <c r="N99" s="465">
        <v>13.1</v>
      </c>
      <c r="O99" s="447"/>
      <c r="P99" s="453">
        <f t="shared" si="31"/>
        <v>3.9000000000000004</v>
      </c>
      <c r="R99" s="399" t="s">
        <v>321</v>
      </c>
      <c r="S99" s="244">
        <v>12.2</v>
      </c>
      <c r="T99" s="263">
        <v>17</v>
      </c>
      <c r="U99" s="447"/>
      <c r="V99" s="139">
        <f t="shared" si="35"/>
        <v>0.30000000000000071</v>
      </c>
      <c r="X99" s="399" t="s">
        <v>321</v>
      </c>
      <c r="Y99" s="244">
        <v>15.1</v>
      </c>
      <c r="Z99" s="172">
        <v>31.7</v>
      </c>
      <c r="AA99" s="514">
        <v>17.3</v>
      </c>
      <c r="AB99" s="180"/>
      <c r="AC99" s="172">
        <f>31.7-2.9</f>
        <v>28.8</v>
      </c>
      <c r="AD99" s="572"/>
      <c r="AE99" s="572"/>
      <c r="AF99" s="417"/>
      <c r="AG99" s="416"/>
      <c r="AH99" s="590">
        <f>AH98/AG98</f>
        <v>0.69</v>
      </c>
      <c r="AI99" s="590">
        <f>AI98/AG98</f>
        <v>0.31</v>
      </c>
      <c r="AJ99" s="2"/>
      <c r="AK99" s="241"/>
      <c r="AL99" s="241"/>
      <c r="AM99" s="241"/>
      <c r="AN99" s="565"/>
      <c r="AO99" s="241"/>
      <c r="AP99" s="2"/>
      <c r="AX99" s="366"/>
    </row>
    <row r="100" spans="1:50" s="177" customFormat="1" ht="20.100000000000001" customHeight="1">
      <c r="A100" s="108" t="s">
        <v>308</v>
      </c>
      <c r="B100" s="173" t="s">
        <v>322</v>
      </c>
      <c r="C100" s="230">
        <v>12.3</v>
      </c>
      <c r="D100" s="172">
        <v>9.4</v>
      </c>
      <c r="E100" s="172">
        <v>7.7</v>
      </c>
      <c r="F100" s="131">
        <f t="shared" si="43"/>
        <v>10.100000000000001</v>
      </c>
      <c r="G100" s="263">
        <v>3.6</v>
      </c>
      <c r="H100" s="263">
        <v>1.4</v>
      </c>
      <c r="I100" s="263">
        <v>1.4</v>
      </c>
      <c r="J100" s="263">
        <v>3.7</v>
      </c>
      <c r="K100" s="447"/>
      <c r="L100" s="606" t="s">
        <v>322</v>
      </c>
      <c r="M100" s="244">
        <v>3.6</v>
      </c>
      <c r="N100" s="465">
        <v>1.6</v>
      </c>
      <c r="O100" s="447"/>
      <c r="P100" s="453">
        <f t="shared" si="31"/>
        <v>2</v>
      </c>
      <c r="R100" s="399" t="s">
        <v>322</v>
      </c>
      <c r="S100" s="244">
        <v>5</v>
      </c>
      <c r="T100" s="263">
        <v>3.6</v>
      </c>
      <c r="U100" s="447"/>
      <c r="V100" s="139">
        <f t="shared" si="35"/>
        <v>1.1000000000000001</v>
      </c>
      <c r="X100" s="399" t="s">
        <v>322</v>
      </c>
      <c r="Y100" s="244">
        <v>5.8</v>
      </c>
      <c r="Z100" s="172">
        <v>9.4</v>
      </c>
      <c r="AA100" s="514">
        <v>4.7</v>
      </c>
      <c r="AB100" s="180"/>
      <c r="AC100" s="172">
        <f>9.4-2.3</f>
        <v>7.1000000000000005</v>
      </c>
      <c r="AD100" s="572"/>
      <c r="AE100" s="572"/>
      <c r="AF100" s="417"/>
      <c r="AG100" s="416">
        <f>AG98/AG95</f>
        <v>0.18966927186105267</v>
      </c>
      <c r="AH100" s="416"/>
      <c r="AI100" s="416"/>
      <c r="AJ100" s="2"/>
      <c r="AK100" s="566"/>
      <c r="AL100" s="241"/>
      <c r="AM100" s="241"/>
      <c r="AN100" s="565"/>
      <c r="AO100" s="241"/>
      <c r="AP100" s="2"/>
      <c r="AX100" s="366"/>
    </row>
    <row r="101" spans="1:50" s="177" customFormat="1" ht="20.100000000000001" customHeight="1">
      <c r="A101" s="108" t="s">
        <v>303</v>
      </c>
      <c r="B101" s="173" t="s">
        <v>323</v>
      </c>
      <c r="C101" s="230">
        <v>1.8</v>
      </c>
      <c r="D101" s="172">
        <v>3</v>
      </c>
      <c r="E101" s="172">
        <v>2.2999999999999998</v>
      </c>
      <c r="F101" s="131">
        <f t="shared" si="43"/>
        <v>3</v>
      </c>
      <c r="G101" s="263">
        <v>0.8</v>
      </c>
      <c r="H101" s="263">
        <v>0.7</v>
      </c>
      <c r="I101" s="263">
        <v>0.7</v>
      </c>
      <c r="J101" s="263">
        <v>0.8</v>
      </c>
      <c r="K101" s="447"/>
      <c r="L101" s="606" t="s">
        <v>323</v>
      </c>
      <c r="M101" s="244">
        <v>0.7</v>
      </c>
      <c r="N101" s="465">
        <v>0.4</v>
      </c>
      <c r="O101" s="447"/>
      <c r="P101" s="453">
        <f t="shared" si="31"/>
        <v>0.6</v>
      </c>
      <c r="R101" s="399" t="s">
        <v>323</v>
      </c>
      <c r="S101" s="244">
        <v>1.5</v>
      </c>
      <c r="T101" s="263">
        <v>1</v>
      </c>
      <c r="U101" s="447"/>
      <c r="V101" s="139">
        <f t="shared" si="35"/>
        <v>0.5</v>
      </c>
      <c r="X101" s="399" t="s">
        <v>323</v>
      </c>
      <c r="Y101" s="244">
        <v>2.2999999999999998</v>
      </c>
      <c r="Z101" s="172">
        <v>3</v>
      </c>
      <c r="AA101" s="514">
        <v>1.5</v>
      </c>
      <c r="AB101" s="180"/>
      <c r="AC101" s="172">
        <f>3-0.2</f>
        <v>2.8</v>
      </c>
      <c r="AD101" s="572"/>
      <c r="AE101" s="572"/>
      <c r="AG101" s="2"/>
      <c r="AH101" s="2"/>
      <c r="AI101" s="2"/>
      <c r="AJ101" s="2"/>
      <c r="AK101" s="2"/>
      <c r="AL101" s="2"/>
      <c r="AM101" s="2"/>
      <c r="AN101" s="125"/>
      <c r="AO101" s="2"/>
      <c r="AP101" s="2"/>
      <c r="AX101" s="366"/>
    </row>
    <row r="102" spans="1:50" s="177" customFormat="1" ht="20.100000000000001" customHeight="1">
      <c r="A102" s="166" t="s">
        <v>383</v>
      </c>
      <c r="B102" s="174" t="s">
        <v>380</v>
      </c>
      <c r="C102" s="175"/>
      <c r="D102" s="176"/>
      <c r="E102" s="176"/>
      <c r="F102" s="175">
        <f t="shared" si="43"/>
        <v>0</v>
      </c>
      <c r="G102" s="175"/>
      <c r="H102" s="175"/>
      <c r="I102" s="175"/>
      <c r="J102" s="175"/>
      <c r="K102" s="237"/>
      <c r="L102" s="606" t="s">
        <v>380</v>
      </c>
      <c r="M102" s="244"/>
      <c r="N102" s="462"/>
      <c r="O102" s="442"/>
      <c r="P102" s="453">
        <f t="shared" si="31"/>
        <v>0</v>
      </c>
      <c r="R102" s="399" t="s">
        <v>380</v>
      </c>
      <c r="S102" s="244"/>
      <c r="T102" s="264"/>
      <c r="U102" s="442"/>
      <c r="V102" s="139">
        <f t="shared" si="35"/>
        <v>0</v>
      </c>
      <c r="X102" s="399" t="s">
        <v>380</v>
      </c>
      <c r="Y102" s="244"/>
      <c r="Z102" s="176"/>
      <c r="AA102" s="508"/>
      <c r="AB102" s="180"/>
      <c r="AC102" s="176"/>
      <c r="AD102" s="572"/>
      <c r="AE102" s="572"/>
      <c r="AN102" s="221"/>
      <c r="AX102" s="366"/>
    </row>
    <row r="103" spans="1:50" s="177" customFormat="1" ht="20.100000000000001" customHeight="1">
      <c r="A103" s="166"/>
      <c r="B103" s="174" t="s">
        <v>381</v>
      </c>
      <c r="C103" s="175"/>
      <c r="D103" s="176"/>
      <c r="E103" s="176"/>
      <c r="F103" s="175">
        <f t="shared" si="43"/>
        <v>0</v>
      </c>
      <c r="G103" s="175"/>
      <c r="H103" s="175"/>
      <c r="I103" s="175"/>
      <c r="J103" s="175"/>
      <c r="K103" s="237"/>
      <c r="L103" s="606"/>
      <c r="M103" s="244"/>
      <c r="N103" s="462"/>
      <c r="O103" s="442"/>
      <c r="P103" s="453">
        <f t="shared" si="31"/>
        <v>0</v>
      </c>
      <c r="R103" s="399"/>
      <c r="S103" s="244"/>
      <c r="T103" s="264"/>
      <c r="U103" s="442"/>
      <c r="V103" s="139">
        <f t="shared" si="35"/>
        <v>0</v>
      </c>
      <c r="X103" s="399"/>
      <c r="Y103" s="244"/>
      <c r="Z103" s="176"/>
      <c r="AA103" s="508"/>
      <c r="AB103" s="180"/>
      <c r="AC103" s="176"/>
      <c r="AD103" s="572"/>
      <c r="AE103" s="572"/>
      <c r="AN103" s="221"/>
      <c r="AX103" s="366"/>
    </row>
    <row r="104" spans="1:50" s="177" customFormat="1" ht="20.100000000000001" customHeight="1">
      <c r="A104" s="166"/>
      <c r="B104" s="174" t="s">
        <v>382</v>
      </c>
      <c r="C104" s="175"/>
      <c r="D104" s="176"/>
      <c r="E104" s="176"/>
      <c r="F104" s="175">
        <f t="shared" si="43"/>
        <v>0</v>
      </c>
      <c r="G104" s="175"/>
      <c r="H104" s="175"/>
      <c r="I104" s="175"/>
      <c r="J104" s="175"/>
      <c r="K104" s="237"/>
      <c r="N104" s="417"/>
      <c r="O104" s="345"/>
      <c r="P104" s="453">
        <f t="shared" si="31"/>
        <v>0</v>
      </c>
      <c r="V104" s="139">
        <f t="shared" si="35"/>
        <v>0</v>
      </c>
      <c r="Z104" s="176"/>
      <c r="AA104" s="503"/>
      <c r="AB104" s="180"/>
      <c r="AC104" s="176"/>
      <c r="AD104" s="572"/>
      <c r="AE104" s="572"/>
      <c r="AN104" s="221"/>
      <c r="AX104" s="366"/>
    </row>
    <row r="105" spans="1:50" ht="33.75" customHeight="1">
      <c r="A105" s="132" t="s">
        <v>181</v>
      </c>
      <c r="B105" s="133">
        <v>1110</v>
      </c>
      <c r="C105" s="135">
        <f>SUM(C106:C111)</f>
        <v>0</v>
      </c>
      <c r="D105" s="134">
        <f>F105</f>
        <v>0</v>
      </c>
      <c r="E105" s="134">
        <f>F105</f>
        <v>0</v>
      </c>
      <c r="F105" s="135">
        <f>SUM(F106:F111)</f>
        <v>0</v>
      </c>
      <c r="G105" s="135">
        <f>SUM(G106:G111)</f>
        <v>0</v>
      </c>
      <c r="H105" s="135">
        <f>SUM(H106:H111)</f>
        <v>0</v>
      </c>
      <c r="I105" s="135">
        <f>SUM(I106:I111)</f>
        <v>0</v>
      </c>
      <c r="J105" s="135">
        <f>SUM(J106:J111)</f>
        <v>0</v>
      </c>
      <c r="K105" s="246"/>
      <c r="L105" s="604">
        <v>1110</v>
      </c>
      <c r="M105" s="427"/>
      <c r="N105" s="139"/>
      <c r="O105" s="246"/>
      <c r="P105" s="453">
        <f t="shared" si="31"/>
        <v>0</v>
      </c>
      <c r="Q105" s="177"/>
      <c r="R105" s="434">
        <v>1110</v>
      </c>
      <c r="S105" s="427"/>
      <c r="T105" s="427"/>
      <c r="U105" s="440"/>
      <c r="V105" s="139">
        <f t="shared" si="35"/>
        <v>0</v>
      </c>
      <c r="X105" s="434">
        <v>1110</v>
      </c>
      <c r="Y105" s="427"/>
      <c r="Z105" s="134">
        <f>AB105</f>
        <v>0</v>
      </c>
      <c r="AA105" s="506"/>
      <c r="AC105" s="134">
        <f>AG105</f>
        <v>0</v>
      </c>
      <c r="AD105" s="247"/>
      <c r="AE105" s="247"/>
    </row>
    <row r="106" spans="1:50" s="2" customFormat="1" ht="20.100000000000001" customHeight="1">
      <c r="A106" s="8" t="s">
        <v>152</v>
      </c>
      <c r="B106" s="9">
        <v>1111</v>
      </c>
      <c r="C106" s="103"/>
      <c r="D106" s="146"/>
      <c r="E106" s="146"/>
      <c r="F106" s="141">
        <f t="shared" ref="F106:F111" si="44">G106+H106+I106+J106</f>
        <v>0</v>
      </c>
      <c r="G106" s="147"/>
      <c r="H106" s="147"/>
      <c r="I106" s="147"/>
      <c r="J106" s="147"/>
      <c r="K106" s="442"/>
      <c r="L106" s="605">
        <v>1111</v>
      </c>
      <c r="M106" s="147"/>
      <c r="N106" s="462"/>
      <c r="O106" s="442"/>
      <c r="P106" s="453">
        <f t="shared" ref="P106:P126" si="45">T106-N106</f>
        <v>0</v>
      </c>
      <c r="Q106" s="400"/>
      <c r="R106" s="150">
        <v>1111</v>
      </c>
      <c r="S106" s="147"/>
      <c r="T106" s="147"/>
      <c r="U106" s="441"/>
      <c r="V106" s="139">
        <f t="shared" si="35"/>
        <v>0</v>
      </c>
      <c r="X106" s="150">
        <v>1111</v>
      </c>
      <c r="Y106" s="147"/>
      <c r="Z106" s="146"/>
      <c r="AA106" s="508"/>
      <c r="AB106" s="16"/>
      <c r="AC106" s="146"/>
      <c r="AD106" s="445"/>
      <c r="AE106" s="445"/>
      <c r="AN106" s="125"/>
      <c r="AX106" s="241"/>
    </row>
    <row r="107" spans="1:50" s="2" customFormat="1" ht="20.100000000000001" customHeight="1">
      <c r="A107" s="8" t="s">
        <v>153</v>
      </c>
      <c r="B107" s="9">
        <v>1112</v>
      </c>
      <c r="C107" s="103"/>
      <c r="D107" s="146"/>
      <c r="E107" s="146"/>
      <c r="F107" s="141">
        <f t="shared" si="44"/>
        <v>0</v>
      </c>
      <c r="G107" s="147"/>
      <c r="H107" s="147"/>
      <c r="I107" s="147"/>
      <c r="J107" s="147"/>
      <c r="K107" s="442"/>
      <c r="L107" s="605">
        <v>1112</v>
      </c>
      <c r="M107" s="147"/>
      <c r="N107" s="462"/>
      <c r="O107" s="442"/>
      <c r="P107" s="453">
        <f t="shared" si="45"/>
        <v>0</v>
      </c>
      <c r="R107" s="150">
        <v>1112</v>
      </c>
      <c r="S107" s="147"/>
      <c r="T107" s="147"/>
      <c r="U107" s="441"/>
      <c r="V107" s="139">
        <f t="shared" si="35"/>
        <v>0</v>
      </c>
      <c r="X107" s="150">
        <v>1112</v>
      </c>
      <c r="Y107" s="147"/>
      <c r="Z107" s="146"/>
      <c r="AA107" s="508"/>
      <c r="AB107" s="16"/>
      <c r="AC107" s="146"/>
      <c r="AD107" s="445"/>
      <c r="AE107" s="445"/>
      <c r="AN107" s="125"/>
      <c r="AX107" s="241"/>
    </row>
    <row r="108" spans="1:50" s="2" customFormat="1" ht="20.100000000000001" customHeight="1">
      <c r="A108" s="8" t="s">
        <v>27</v>
      </c>
      <c r="B108" s="9">
        <v>1113</v>
      </c>
      <c r="C108" s="103"/>
      <c r="D108" s="146"/>
      <c r="E108" s="146"/>
      <c r="F108" s="141">
        <f t="shared" si="44"/>
        <v>0</v>
      </c>
      <c r="G108" s="147"/>
      <c r="H108" s="147"/>
      <c r="I108" s="147"/>
      <c r="J108" s="147"/>
      <c r="K108" s="442"/>
      <c r="L108" s="605">
        <v>1113</v>
      </c>
      <c r="M108" s="147"/>
      <c r="N108" s="462"/>
      <c r="O108" s="442"/>
      <c r="P108" s="453">
        <f t="shared" si="45"/>
        <v>0</v>
      </c>
      <c r="R108" s="150">
        <v>1113</v>
      </c>
      <c r="S108" s="147"/>
      <c r="T108" s="147"/>
      <c r="U108" s="441"/>
      <c r="V108" s="139">
        <f t="shared" si="35"/>
        <v>0</v>
      </c>
      <c r="X108" s="150">
        <v>1113</v>
      </c>
      <c r="Y108" s="147"/>
      <c r="Z108" s="146"/>
      <c r="AA108" s="508"/>
      <c r="AB108" s="16"/>
      <c r="AC108" s="146"/>
      <c r="AD108" s="445"/>
      <c r="AE108" s="445"/>
      <c r="AN108" s="125"/>
      <c r="AX108" s="241"/>
    </row>
    <row r="109" spans="1:50" s="2" customFormat="1" ht="20.100000000000001" customHeight="1">
      <c r="A109" s="8" t="s">
        <v>51</v>
      </c>
      <c r="B109" s="9">
        <v>1114</v>
      </c>
      <c r="C109" s="103"/>
      <c r="D109" s="146"/>
      <c r="E109" s="146"/>
      <c r="F109" s="141">
        <f t="shared" si="44"/>
        <v>0</v>
      </c>
      <c r="G109" s="147"/>
      <c r="H109" s="147"/>
      <c r="I109" s="147"/>
      <c r="J109" s="147"/>
      <c r="K109" s="442"/>
      <c r="L109" s="605">
        <v>1114</v>
      </c>
      <c r="M109" s="147"/>
      <c r="N109" s="462"/>
      <c r="O109" s="442"/>
      <c r="P109" s="453">
        <f t="shared" si="45"/>
        <v>0</v>
      </c>
      <c r="R109" s="150">
        <v>1114</v>
      </c>
      <c r="S109" s="147"/>
      <c r="T109" s="147"/>
      <c r="U109" s="441"/>
      <c r="V109" s="139">
        <f t="shared" si="35"/>
        <v>0</v>
      </c>
      <c r="X109" s="150">
        <v>1114</v>
      </c>
      <c r="Y109" s="147"/>
      <c r="Z109" s="146"/>
      <c r="AA109" s="508"/>
      <c r="AB109" s="16"/>
      <c r="AC109" s="146"/>
      <c r="AD109" s="445"/>
      <c r="AE109" s="445"/>
      <c r="AN109" s="125"/>
      <c r="AX109" s="241"/>
    </row>
    <row r="110" spans="1:50" s="2" customFormat="1" ht="20.100000000000001" customHeight="1">
      <c r="A110" s="8" t="s">
        <v>70</v>
      </c>
      <c r="B110" s="9">
        <v>1115</v>
      </c>
      <c r="C110" s="103"/>
      <c r="D110" s="146"/>
      <c r="E110" s="146"/>
      <c r="F110" s="141">
        <f t="shared" si="44"/>
        <v>0</v>
      </c>
      <c r="G110" s="147"/>
      <c r="H110" s="147"/>
      <c r="I110" s="147"/>
      <c r="J110" s="147"/>
      <c r="K110" s="442"/>
      <c r="L110" s="605">
        <v>1115</v>
      </c>
      <c r="M110" s="147"/>
      <c r="N110" s="462"/>
      <c r="O110" s="442"/>
      <c r="P110" s="453">
        <f t="shared" si="45"/>
        <v>0</v>
      </c>
      <c r="R110" s="150">
        <v>1115</v>
      </c>
      <c r="S110" s="147"/>
      <c r="T110" s="147"/>
      <c r="U110" s="441"/>
      <c r="V110" s="139">
        <f t="shared" si="35"/>
        <v>0</v>
      </c>
      <c r="X110" s="150">
        <v>1115</v>
      </c>
      <c r="Y110" s="147"/>
      <c r="Z110" s="146"/>
      <c r="AA110" s="508"/>
      <c r="AB110" s="16"/>
      <c r="AC110" s="146"/>
      <c r="AD110" s="445"/>
      <c r="AE110" s="445"/>
      <c r="AN110" s="125"/>
      <c r="AX110" s="241"/>
    </row>
    <row r="111" spans="1:50" s="2" customFormat="1" ht="20.100000000000001" customHeight="1">
      <c r="A111" s="8" t="s">
        <v>108</v>
      </c>
      <c r="B111" s="9">
        <v>1116</v>
      </c>
      <c r="C111" s="103"/>
      <c r="D111" s="146"/>
      <c r="E111" s="146"/>
      <c r="F111" s="141">
        <f t="shared" si="44"/>
        <v>0</v>
      </c>
      <c r="G111" s="147"/>
      <c r="H111" s="147"/>
      <c r="I111" s="147"/>
      <c r="J111" s="147"/>
      <c r="K111" s="442"/>
      <c r="L111" s="605">
        <v>1116</v>
      </c>
      <c r="M111" s="147"/>
      <c r="N111" s="462"/>
      <c r="O111" s="442"/>
      <c r="P111" s="453">
        <f t="shared" si="45"/>
        <v>0</v>
      </c>
      <c r="R111" s="150">
        <v>1116</v>
      </c>
      <c r="S111" s="147"/>
      <c r="T111" s="147"/>
      <c r="U111" s="441"/>
      <c r="V111" s="139">
        <f t="shared" si="35"/>
        <v>0</v>
      </c>
      <c r="X111" s="150">
        <v>1116</v>
      </c>
      <c r="Y111" s="147"/>
      <c r="Z111" s="146"/>
      <c r="AA111" s="508"/>
      <c r="AB111" s="16"/>
      <c r="AC111" s="146"/>
      <c r="AD111" s="445"/>
      <c r="AE111" s="445"/>
      <c r="AN111" s="125"/>
      <c r="AX111" s="241"/>
    </row>
    <row r="112" spans="1:50" s="2" customFormat="1" ht="35.25" customHeight="1">
      <c r="A112" s="142" t="s">
        <v>71</v>
      </c>
      <c r="B112" s="133">
        <v>1120</v>
      </c>
      <c r="C112" s="135">
        <f>SUM(C113:C117)</f>
        <v>171.5</v>
      </c>
      <c r="D112" s="135">
        <f>SUM(D113:D117)</f>
        <v>537.5</v>
      </c>
      <c r="E112" s="135">
        <f t="shared" ref="E112:J112" si="46">SUM(E113:E117)</f>
        <v>858.59999999999991</v>
      </c>
      <c r="F112" s="135">
        <f t="shared" si="46"/>
        <v>876.9</v>
      </c>
      <c r="G112" s="135">
        <f t="shared" si="46"/>
        <v>349.5</v>
      </c>
      <c r="H112" s="135">
        <f t="shared" si="46"/>
        <v>131.69999999999999</v>
      </c>
      <c r="I112" s="135">
        <f t="shared" si="46"/>
        <v>132.19999999999999</v>
      </c>
      <c r="J112" s="135">
        <f t="shared" si="46"/>
        <v>263.5</v>
      </c>
      <c r="K112" s="246"/>
      <c r="L112" s="604">
        <v>1120</v>
      </c>
      <c r="M112" s="427">
        <f>M117</f>
        <v>169.7</v>
      </c>
      <c r="N112" s="139">
        <f>N117</f>
        <v>251.60000000000002</v>
      </c>
      <c r="O112" s="246"/>
      <c r="P112" s="453">
        <f t="shared" si="45"/>
        <v>155.19999999999999</v>
      </c>
      <c r="R112" s="434">
        <v>1120</v>
      </c>
      <c r="S112" s="427">
        <f>S117</f>
        <v>273.7</v>
      </c>
      <c r="T112" s="427">
        <f>T117</f>
        <v>406.8</v>
      </c>
      <c r="U112" s="440"/>
      <c r="V112" s="139">
        <f t="shared" si="35"/>
        <v>91.699999999999989</v>
      </c>
      <c r="X112" s="434">
        <v>1120</v>
      </c>
      <c r="Y112" s="427">
        <f>Y117</f>
        <v>377.79999999999995</v>
      </c>
      <c r="Z112" s="135">
        <f>SUM(Z113:Z117)</f>
        <v>537.5</v>
      </c>
      <c r="AA112" s="506">
        <f>AA117</f>
        <v>498.5</v>
      </c>
      <c r="AB112" s="16"/>
      <c r="AC112" s="135">
        <f>SUM(AC113:AC117)</f>
        <v>858.59999999999991</v>
      </c>
      <c r="AD112" s="246"/>
      <c r="AE112" s="246"/>
      <c r="AN112" s="125"/>
      <c r="AX112" s="241"/>
    </row>
    <row r="113" spans="1:50" s="2" customFormat="1" ht="20.100000000000001" customHeight="1">
      <c r="A113" s="8" t="s">
        <v>59</v>
      </c>
      <c r="B113" s="9">
        <v>1121</v>
      </c>
      <c r="C113" s="103"/>
      <c r="D113" s="146"/>
      <c r="E113" s="146"/>
      <c r="F113" s="141">
        <f>G113+H113+I113+J113</f>
        <v>0</v>
      </c>
      <c r="G113" s="147"/>
      <c r="H113" s="147"/>
      <c r="I113" s="147"/>
      <c r="J113" s="147"/>
      <c r="K113" s="442"/>
      <c r="L113" s="605">
        <v>1121</v>
      </c>
      <c r="M113" s="147"/>
      <c r="N113" s="462"/>
      <c r="O113" s="442"/>
      <c r="P113" s="453">
        <f t="shared" si="45"/>
        <v>0</v>
      </c>
      <c r="R113" s="150">
        <v>1121</v>
      </c>
      <c r="S113" s="147"/>
      <c r="T113" s="147"/>
      <c r="U113" s="441"/>
      <c r="V113" s="139">
        <f t="shared" si="35"/>
        <v>0</v>
      </c>
      <c r="X113" s="150">
        <v>1121</v>
      </c>
      <c r="Y113" s="147"/>
      <c r="Z113" s="146"/>
      <c r="AA113" s="508"/>
      <c r="AB113" s="16"/>
      <c r="AC113" s="146"/>
      <c r="AD113" s="445"/>
      <c r="AE113" s="445"/>
      <c r="AN113" s="125"/>
      <c r="AX113" s="241"/>
    </row>
    <row r="114" spans="1:50" s="2" customFormat="1" ht="20.100000000000001" customHeight="1">
      <c r="A114" s="8" t="s">
        <v>39</v>
      </c>
      <c r="B114" s="9">
        <v>1122</v>
      </c>
      <c r="C114" s="103"/>
      <c r="D114" s="146"/>
      <c r="E114" s="146"/>
      <c r="F114" s="141">
        <f>G114+H114+I114+J114</f>
        <v>0</v>
      </c>
      <c r="G114" s="147"/>
      <c r="H114" s="147"/>
      <c r="I114" s="147"/>
      <c r="J114" s="147"/>
      <c r="K114" s="442"/>
      <c r="L114" s="605">
        <v>1122</v>
      </c>
      <c r="M114" s="147"/>
      <c r="N114" s="462"/>
      <c r="O114" s="442"/>
      <c r="P114" s="453">
        <f t="shared" si="45"/>
        <v>0</v>
      </c>
      <c r="R114" s="150">
        <v>1122</v>
      </c>
      <c r="S114" s="147"/>
      <c r="T114" s="147"/>
      <c r="U114" s="441"/>
      <c r="V114" s="139">
        <f t="shared" si="35"/>
        <v>0</v>
      </c>
      <c r="X114" s="150">
        <v>1122</v>
      </c>
      <c r="Y114" s="147"/>
      <c r="Z114" s="146"/>
      <c r="AA114" s="508"/>
      <c r="AB114" s="16"/>
      <c r="AC114" s="146"/>
      <c r="AD114" s="445"/>
      <c r="AE114" s="445"/>
      <c r="AN114" s="125"/>
      <c r="AX114" s="241"/>
    </row>
    <row r="115" spans="1:50" s="2" customFormat="1" ht="20.100000000000001" customHeight="1">
      <c r="A115" s="8" t="s">
        <v>49</v>
      </c>
      <c r="B115" s="9">
        <v>1123</v>
      </c>
      <c r="C115" s="103"/>
      <c r="D115" s="146"/>
      <c r="E115" s="146"/>
      <c r="F115" s="141">
        <f>G115+H115+I115+J115</f>
        <v>0</v>
      </c>
      <c r="G115" s="147"/>
      <c r="H115" s="147"/>
      <c r="I115" s="147"/>
      <c r="J115" s="147"/>
      <c r="K115" s="442"/>
      <c r="L115" s="605">
        <v>1123</v>
      </c>
      <c r="M115" s="147"/>
      <c r="N115" s="462"/>
      <c r="O115" s="442"/>
      <c r="P115" s="453">
        <f t="shared" si="45"/>
        <v>0</v>
      </c>
      <c r="R115" s="150">
        <v>1123</v>
      </c>
      <c r="S115" s="147"/>
      <c r="T115" s="147"/>
      <c r="U115" s="441"/>
      <c r="V115" s="139">
        <f t="shared" si="35"/>
        <v>0</v>
      </c>
      <c r="X115" s="150">
        <v>1123</v>
      </c>
      <c r="Y115" s="147"/>
      <c r="Z115" s="146"/>
      <c r="AA115" s="508"/>
      <c r="AB115" s="16"/>
      <c r="AC115" s="146"/>
      <c r="AD115" s="445"/>
      <c r="AE115" s="445"/>
      <c r="AN115" s="125"/>
      <c r="AX115" s="241"/>
    </row>
    <row r="116" spans="1:50" s="2" customFormat="1" ht="20.100000000000001" customHeight="1">
      <c r="A116" s="8" t="s">
        <v>176</v>
      </c>
      <c r="B116" s="9">
        <v>1124</v>
      </c>
      <c r="C116" s="103"/>
      <c r="D116" s="146"/>
      <c r="E116" s="146"/>
      <c r="F116" s="141">
        <f>G116+H116+I116+J116</f>
        <v>0</v>
      </c>
      <c r="G116" s="147"/>
      <c r="H116" s="147"/>
      <c r="I116" s="147"/>
      <c r="J116" s="147"/>
      <c r="K116" s="442"/>
      <c r="L116" s="605">
        <v>1124</v>
      </c>
      <c r="M116" s="147"/>
      <c r="N116" s="462"/>
      <c r="O116" s="442"/>
      <c r="P116" s="453">
        <f t="shared" si="45"/>
        <v>0</v>
      </c>
      <c r="R116" s="150">
        <v>1124</v>
      </c>
      <c r="S116" s="147"/>
      <c r="T116" s="147"/>
      <c r="U116" s="441"/>
      <c r="V116" s="139">
        <f t="shared" si="35"/>
        <v>0</v>
      </c>
      <c r="X116" s="150">
        <v>1124</v>
      </c>
      <c r="Y116" s="147"/>
      <c r="Z116" s="146"/>
      <c r="AA116" s="508"/>
      <c r="AB116" s="16"/>
      <c r="AC116" s="146"/>
      <c r="AD116" s="445"/>
      <c r="AE116" s="445"/>
      <c r="AN116" s="125"/>
      <c r="AX116" s="241"/>
    </row>
    <row r="117" spans="1:50" s="2" customFormat="1" ht="20.100000000000001" customHeight="1">
      <c r="A117" s="162" t="s">
        <v>391</v>
      </c>
      <c r="B117" s="163">
        <v>1125</v>
      </c>
      <c r="C117" s="137">
        <f>C118+SUM(C123:C128)</f>
        <v>171.5</v>
      </c>
      <c r="D117" s="137">
        <f t="shared" ref="D117:J117" si="47">D118+SUM(D123:D128)</f>
        <v>537.5</v>
      </c>
      <c r="E117" s="137">
        <f t="shared" si="47"/>
        <v>858.59999999999991</v>
      </c>
      <c r="F117" s="137">
        <f t="shared" si="47"/>
        <v>876.9</v>
      </c>
      <c r="G117" s="137">
        <f t="shared" si="47"/>
        <v>349.5</v>
      </c>
      <c r="H117" s="137">
        <f t="shared" si="47"/>
        <v>131.69999999999999</v>
      </c>
      <c r="I117" s="137">
        <f t="shared" si="47"/>
        <v>132.19999999999999</v>
      </c>
      <c r="J117" s="137">
        <f t="shared" si="47"/>
        <v>263.5</v>
      </c>
      <c r="K117" s="246"/>
      <c r="L117" s="605">
        <v>1125</v>
      </c>
      <c r="M117" s="429">
        <f>M118+M123+M124+M125+M126</f>
        <v>169.7</v>
      </c>
      <c r="N117" s="464">
        <f>N118+N123+N124+N125+N126</f>
        <v>251.60000000000002</v>
      </c>
      <c r="O117" s="448"/>
      <c r="P117" s="453">
        <f t="shared" si="45"/>
        <v>155.19999999999999</v>
      </c>
      <c r="R117" s="150">
        <v>1125</v>
      </c>
      <c r="S117" s="429">
        <f>S118+S123+S124+S125+S126</f>
        <v>273.7</v>
      </c>
      <c r="T117" s="429">
        <f>T118+T123+T124+T125+T126</f>
        <v>406.8</v>
      </c>
      <c r="U117" s="444"/>
      <c r="V117" s="139">
        <f t="shared" si="35"/>
        <v>91.699999999999989</v>
      </c>
      <c r="X117" s="150">
        <v>1125</v>
      </c>
      <c r="Y117" s="429">
        <f>Y118+Y123+Y124+Y125+Y126</f>
        <v>377.79999999999995</v>
      </c>
      <c r="Z117" s="137">
        <f t="shared" ref="Z117" si="48">Z118+SUM(Z123:Z128)</f>
        <v>537.5</v>
      </c>
      <c r="AA117" s="510">
        <f>AA118+AA123+AA124+AA125+AA126</f>
        <v>498.5</v>
      </c>
      <c r="AB117" s="16"/>
      <c r="AC117" s="137">
        <f t="shared" ref="AC117" si="49">AC118+SUM(AC123:AC128)</f>
        <v>858.59999999999991</v>
      </c>
      <c r="AD117" s="246"/>
      <c r="AE117" s="246"/>
      <c r="AN117" s="125"/>
      <c r="AX117" s="241"/>
    </row>
    <row r="118" spans="1:50" s="2" customFormat="1" ht="20.100000000000001" customHeight="1">
      <c r="A118" s="166" t="s">
        <v>358</v>
      </c>
      <c r="B118" s="159" t="s">
        <v>324</v>
      </c>
      <c r="C118" s="160">
        <f>SUM(C120:C122)</f>
        <v>133.9</v>
      </c>
      <c r="D118" s="160">
        <f t="shared" ref="D118:J118" si="50">SUM(D120:D122)</f>
        <v>533.1</v>
      </c>
      <c r="E118" s="160">
        <f t="shared" si="50"/>
        <v>824.19999999999993</v>
      </c>
      <c r="F118" s="160">
        <f t="shared" si="50"/>
        <v>792.9</v>
      </c>
      <c r="G118" s="160">
        <f t="shared" si="50"/>
        <v>328.5</v>
      </c>
      <c r="H118" s="160">
        <f t="shared" si="50"/>
        <v>110.7</v>
      </c>
      <c r="I118" s="160">
        <f t="shared" si="50"/>
        <v>111.2</v>
      </c>
      <c r="J118" s="160">
        <f t="shared" si="50"/>
        <v>242.5</v>
      </c>
      <c r="K118" s="248"/>
      <c r="L118" s="609" t="s">
        <v>324</v>
      </c>
      <c r="M118" s="431">
        <f>M120+M121+M122</f>
        <v>168.6</v>
      </c>
      <c r="N118" s="464">
        <f>SUM(N120:N122)</f>
        <v>250.70000000000002</v>
      </c>
      <c r="O118" s="448"/>
      <c r="P118" s="453">
        <f t="shared" si="45"/>
        <v>154.29999999999998</v>
      </c>
      <c r="R118" s="402" t="s">
        <v>324</v>
      </c>
      <c r="S118" s="431">
        <f>S120+S121+S122</f>
        <v>271.5</v>
      </c>
      <c r="T118" s="431">
        <f>T120+T121+T122</f>
        <v>405</v>
      </c>
      <c r="U118" s="448"/>
      <c r="V118" s="139">
        <f t="shared" si="35"/>
        <v>75.5</v>
      </c>
      <c r="X118" s="402" t="s">
        <v>324</v>
      </c>
      <c r="Y118" s="431">
        <f>Y120+Y121+Y122</f>
        <v>374.49999999999994</v>
      </c>
      <c r="Z118" s="160">
        <f t="shared" ref="Z118" si="51">SUM(Z120:Z122)</f>
        <v>533.1</v>
      </c>
      <c r="AA118" s="510">
        <f>AA120+AA121+AA122</f>
        <v>480.5</v>
      </c>
      <c r="AB118" s="16"/>
      <c r="AC118" s="160">
        <f t="shared" ref="AC118" si="52">SUM(AC120:AC122)</f>
        <v>824.19999999999993</v>
      </c>
      <c r="AD118" s="248"/>
      <c r="AE118" s="248"/>
      <c r="AN118" s="125"/>
      <c r="AX118" s="241"/>
    </row>
    <row r="119" spans="1:50" s="2" customFormat="1">
      <c r="A119" s="108" t="s">
        <v>301</v>
      </c>
      <c r="B119" s="9"/>
      <c r="C119" s="103"/>
      <c r="D119" s="146"/>
      <c r="E119" s="146"/>
      <c r="F119" s="141"/>
      <c r="G119" s="147"/>
      <c r="H119" s="147"/>
      <c r="I119" s="147"/>
      <c r="J119" s="147"/>
      <c r="K119" s="442"/>
      <c r="L119" s="610"/>
      <c r="M119" s="264"/>
      <c r="N119" s="462"/>
      <c r="O119" s="442"/>
      <c r="P119" s="453">
        <f t="shared" si="45"/>
        <v>0</v>
      </c>
      <c r="R119" s="436"/>
      <c r="S119" s="264"/>
      <c r="T119" s="264"/>
      <c r="U119" s="442"/>
      <c r="V119" s="139">
        <f t="shared" si="35"/>
        <v>0</v>
      </c>
      <c r="X119" s="436"/>
      <c r="Y119" s="264"/>
      <c r="Z119" s="146"/>
      <c r="AA119" s="508"/>
      <c r="AB119" s="16"/>
      <c r="AC119" s="146"/>
      <c r="AD119" s="445"/>
      <c r="AE119" s="445"/>
      <c r="AN119" s="125"/>
      <c r="AX119" s="241"/>
    </row>
    <row r="120" spans="1:50" s="177" customFormat="1" ht="20.100000000000001" customHeight="1">
      <c r="A120" s="108" t="s">
        <v>302</v>
      </c>
      <c r="B120" s="173" t="s">
        <v>325</v>
      </c>
      <c r="C120" s="230">
        <v>37.1</v>
      </c>
      <c r="D120" s="562">
        <v>237.4</v>
      </c>
      <c r="E120" s="562">
        <v>419.4</v>
      </c>
      <c r="F120" s="131">
        <f>G120+H120+I120+J120</f>
        <v>412.9</v>
      </c>
      <c r="G120" s="263">
        <v>197.5</v>
      </c>
      <c r="H120" s="263">
        <v>27.7</v>
      </c>
      <c r="I120" s="263">
        <v>28.2</v>
      </c>
      <c r="J120" s="263">
        <v>159.5</v>
      </c>
      <c r="K120" s="447"/>
      <c r="L120" s="609" t="s">
        <v>325</v>
      </c>
      <c r="M120" s="244">
        <v>90.7</v>
      </c>
      <c r="N120" s="462">
        <v>179.5</v>
      </c>
      <c r="O120" s="442"/>
      <c r="P120" s="453">
        <f t="shared" si="45"/>
        <v>49.599999999999994</v>
      </c>
      <c r="Q120" s="2"/>
      <c r="R120" s="402" t="s">
        <v>325</v>
      </c>
      <c r="S120" s="244">
        <v>121.2</v>
      </c>
      <c r="T120" s="264">
        <v>229.1</v>
      </c>
      <c r="U120" s="442"/>
      <c r="V120" s="139">
        <f t="shared" si="35"/>
        <v>8.3000000000000114</v>
      </c>
      <c r="X120" s="402" t="s">
        <v>325</v>
      </c>
      <c r="Y120" s="244">
        <v>151.69999999999999</v>
      </c>
      <c r="Z120" s="240">
        <v>237.4</v>
      </c>
      <c r="AA120" s="508">
        <v>237.4</v>
      </c>
      <c r="AB120" s="180"/>
      <c r="AC120" s="240">
        <v>419.4</v>
      </c>
      <c r="AD120" s="573"/>
      <c r="AE120" s="573"/>
      <c r="AN120" s="221"/>
      <c r="AX120" s="366"/>
    </row>
    <row r="121" spans="1:50" s="177" customFormat="1" ht="20.100000000000001" customHeight="1">
      <c r="A121" s="108" t="s">
        <v>308</v>
      </c>
      <c r="B121" s="173" t="s">
        <v>326</v>
      </c>
      <c r="C121" s="230">
        <v>80.8</v>
      </c>
      <c r="D121" s="562">
        <v>246.1</v>
      </c>
      <c r="E121" s="562">
        <v>336.9</v>
      </c>
      <c r="F121" s="131">
        <f t="shared" ref="F121:F125" si="53">G121+H121+I121+J121</f>
        <v>330</v>
      </c>
      <c r="G121" s="263">
        <v>119</v>
      </c>
      <c r="H121" s="263">
        <v>71</v>
      </c>
      <c r="I121" s="263">
        <v>69</v>
      </c>
      <c r="J121" s="263">
        <v>71</v>
      </c>
      <c r="K121" s="447"/>
      <c r="L121" s="609" t="s">
        <v>326</v>
      </c>
      <c r="M121" s="244">
        <v>65.5</v>
      </c>
      <c r="N121" s="462">
        <v>6.3</v>
      </c>
      <c r="O121" s="442"/>
      <c r="P121" s="453">
        <f t="shared" si="45"/>
        <v>150.6</v>
      </c>
      <c r="R121" s="402" t="s">
        <v>326</v>
      </c>
      <c r="S121" s="244">
        <v>125.5</v>
      </c>
      <c r="T121" s="264">
        <v>156.9</v>
      </c>
      <c r="U121" s="442"/>
      <c r="V121" s="139">
        <f t="shared" si="35"/>
        <v>54.5</v>
      </c>
      <c r="X121" s="402" t="s">
        <v>326</v>
      </c>
      <c r="Y121" s="244">
        <v>185.6</v>
      </c>
      <c r="Z121" s="240">
        <v>246.1</v>
      </c>
      <c r="AA121" s="508">
        <v>211.4</v>
      </c>
      <c r="AB121" s="180"/>
      <c r="AC121" s="240">
        <v>336.9</v>
      </c>
      <c r="AD121" s="573"/>
      <c r="AE121" s="573"/>
      <c r="AN121" s="221"/>
      <c r="AX121" s="366"/>
    </row>
    <row r="122" spans="1:50" s="177" customFormat="1" ht="20.100000000000001" customHeight="1">
      <c r="A122" s="108" t="s">
        <v>303</v>
      </c>
      <c r="B122" s="173" t="s">
        <v>327</v>
      </c>
      <c r="C122" s="230">
        <v>16</v>
      </c>
      <c r="D122" s="562">
        <v>49.6</v>
      </c>
      <c r="E122" s="562">
        <v>67.900000000000006</v>
      </c>
      <c r="F122" s="131">
        <f t="shared" si="53"/>
        <v>50</v>
      </c>
      <c r="G122" s="263">
        <v>12</v>
      </c>
      <c r="H122" s="263">
        <v>12</v>
      </c>
      <c r="I122" s="263">
        <v>14</v>
      </c>
      <c r="J122" s="263">
        <v>12</v>
      </c>
      <c r="K122" s="447"/>
      <c r="L122" s="609" t="s">
        <v>327</v>
      </c>
      <c r="M122" s="244">
        <v>12.4</v>
      </c>
      <c r="N122" s="462">
        <v>64.900000000000006</v>
      </c>
      <c r="O122" s="442"/>
      <c r="P122" s="453">
        <f t="shared" si="45"/>
        <v>-45.900000000000006</v>
      </c>
      <c r="R122" s="402" t="s">
        <v>327</v>
      </c>
      <c r="S122" s="244">
        <v>24.8</v>
      </c>
      <c r="T122" s="264">
        <v>19</v>
      </c>
      <c r="U122" s="442"/>
      <c r="V122" s="139">
        <f t="shared" si="35"/>
        <v>12.7</v>
      </c>
      <c r="X122" s="402" t="s">
        <v>327</v>
      </c>
      <c r="Y122" s="244">
        <v>37.200000000000003</v>
      </c>
      <c r="Z122" s="240">
        <v>49.6</v>
      </c>
      <c r="AA122" s="508">
        <v>31.7</v>
      </c>
      <c r="AB122" s="180"/>
      <c r="AC122" s="240">
        <v>67.900000000000006</v>
      </c>
      <c r="AD122" s="573"/>
      <c r="AE122" s="573"/>
      <c r="AN122" s="221"/>
      <c r="AX122" s="366"/>
    </row>
    <row r="123" spans="1:50" s="2" customFormat="1" ht="20.100000000000001" customHeight="1">
      <c r="A123" s="108" t="s">
        <v>384</v>
      </c>
      <c r="B123" s="9" t="s">
        <v>328</v>
      </c>
      <c r="C123" s="244"/>
      <c r="D123" s="562"/>
      <c r="E123" s="562"/>
      <c r="F123" s="103">
        <f t="shared" si="53"/>
        <v>0</v>
      </c>
      <c r="G123" s="264"/>
      <c r="H123" s="264"/>
      <c r="I123" s="264"/>
      <c r="J123" s="264"/>
      <c r="K123" s="442"/>
      <c r="L123" s="609" t="s">
        <v>328</v>
      </c>
      <c r="M123" s="244"/>
      <c r="N123" s="462"/>
      <c r="O123" s="442"/>
      <c r="P123" s="453">
        <f t="shared" si="45"/>
        <v>0</v>
      </c>
      <c r="Q123" s="177"/>
      <c r="R123" s="402" t="s">
        <v>328</v>
      </c>
      <c r="S123" s="244"/>
      <c r="T123" s="264"/>
      <c r="U123" s="442"/>
      <c r="V123" s="139">
        <f t="shared" si="35"/>
        <v>0</v>
      </c>
      <c r="X123" s="402" t="s">
        <v>328</v>
      </c>
      <c r="Y123" s="244"/>
      <c r="Z123" s="240"/>
      <c r="AA123" s="508"/>
      <c r="AB123" s="16"/>
      <c r="AC123" s="240"/>
      <c r="AD123" s="573"/>
      <c r="AE123" s="573"/>
      <c r="AN123" s="125"/>
      <c r="AX123" s="241"/>
    </row>
    <row r="124" spans="1:50" s="2" customFormat="1" ht="20.100000000000001" customHeight="1">
      <c r="A124" s="113" t="s">
        <v>385</v>
      </c>
      <c r="B124" s="352" t="s">
        <v>329</v>
      </c>
      <c r="C124" s="244">
        <v>6.1</v>
      </c>
      <c r="D124" s="562"/>
      <c r="E124" s="562"/>
      <c r="F124" s="103">
        <f t="shared" si="53"/>
        <v>0</v>
      </c>
      <c r="G124" s="264"/>
      <c r="H124" s="264"/>
      <c r="I124" s="264"/>
      <c r="J124" s="264"/>
      <c r="K124" s="442"/>
      <c r="L124" s="609" t="s">
        <v>329</v>
      </c>
      <c r="M124" s="244"/>
      <c r="N124" s="462"/>
      <c r="O124" s="442"/>
      <c r="P124" s="453">
        <f t="shared" si="45"/>
        <v>0</v>
      </c>
      <c r="R124" s="402" t="s">
        <v>329</v>
      </c>
      <c r="S124" s="244"/>
      <c r="T124" s="264"/>
      <c r="U124" s="442"/>
      <c r="V124" s="139">
        <f t="shared" si="35"/>
        <v>0</v>
      </c>
      <c r="X124" s="402" t="s">
        <v>329</v>
      </c>
      <c r="Y124" s="244"/>
      <c r="Z124" s="240"/>
      <c r="AA124" s="508"/>
      <c r="AB124" s="16"/>
      <c r="AC124" s="240"/>
      <c r="AD124" s="573"/>
      <c r="AE124" s="573"/>
      <c r="AN124" s="125"/>
      <c r="AX124" s="241"/>
    </row>
    <row r="125" spans="1:50" s="2" customFormat="1" ht="20.100000000000001" customHeight="1">
      <c r="A125" s="113" t="s">
        <v>475</v>
      </c>
      <c r="B125" s="352" t="s">
        <v>330</v>
      </c>
      <c r="C125" s="244">
        <v>7.9</v>
      </c>
      <c r="D125" s="562">
        <v>4.4000000000000004</v>
      </c>
      <c r="E125" s="562">
        <f>30+4.4</f>
        <v>34.4</v>
      </c>
      <c r="F125" s="103">
        <f t="shared" si="53"/>
        <v>84</v>
      </c>
      <c r="G125" s="264">
        <v>21</v>
      </c>
      <c r="H125" s="264">
        <v>21</v>
      </c>
      <c r="I125" s="264">
        <v>21</v>
      </c>
      <c r="J125" s="264">
        <v>21</v>
      </c>
      <c r="K125" s="442"/>
      <c r="L125" s="609" t="s">
        <v>330</v>
      </c>
      <c r="M125" s="244">
        <v>1.1000000000000001</v>
      </c>
      <c r="N125" s="462">
        <v>0.9</v>
      </c>
      <c r="O125" s="442"/>
      <c r="P125" s="453">
        <f t="shared" si="45"/>
        <v>0.9</v>
      </c>
      <c r="R125" s="402" t="s">
        <v>330</v>
      </c>
      <c r="S125" s="244">
        <v>2.2000000000000002</v>
      </c>
      <c r="T125" s="264">
        <v>1.8</v>
      </c>
      <c r="U125" s="442"/>
      <c r="V125" s="139">
        <f t="shared" si="35"/>
        <v>16.2</v>
      </c>
      <c r="X125" s="402" t="s">
        <v>330</v>
      </c>
      <c r="Y125" s="244">
        <v>3.3</v>
      </c>
      <c r="Z125" s="240">
        <v>4.4000000000000004</v>
      </c>
      <c r="AA125" s="508">
        <f>2+16</f>
        <v>18</v>
      </c>
      <c r="AB125" s="16"/>
      <c r="AC125" s="240">
        <v>34.4</v>
      </c>
      <c r="AD125" s="573"/>
      <c r="AE125" s="573"/>
      <c r="AN125" s="125"/>
      <c r="AX125" s="241"/>
    </row>
    <row r="126" spans="1:50" s="2" customFormat="1" ht="37.5">
      <c r="A126" s="113" t="s">
        <v>386</v>
      </c>
      <c r="B126" s="352" t="s">
        <v>331</v>
      </c>
      <c r="C126" s="244">
        <v>23.6</v>
      </c>
      <c r="D126" s="146"/>
      <c r="E126" s="146"/>
      <c r="F126" s="103"/>
      <c r="G126" s="147"/>
      <c r="H126" s="147"/>
      <c r="I126" s="147"/>
      <c r="J126" s="147"/>
      <c r="K126" s="442"/>
      <c r="L126" s="609" t="s">
        <v>331</v>
      </c>
      <c r="M126" s="244"/>
      <c r="N126" s="462"/>
      <c r="O126" s="442"/>
      <c r="P126" s="453">
        <f t="shared" si="45"/>
        <v>0</v>
      </c>
      <c r="R126" s="402" t="s">
        <v>331</v>
      </c>
      <c r="S126" s="244"/>
      <c r="T126" s="147"/>
      <c r="U126" s="441"/>
      <c r="V126" s="139">
        <f t="shared" si="35"/>
        <v>0</v>
      </c>
      <c r="X126" s="402" t="s">
        <v>331</v>
      </c>
      <c r="Y126" s="244"/>
      <c r="Z126" s="274"/>
      <c r="AA126" s="508"/>
      <c r="AB126" s="16"/>
      <c r="AC126" s="274"/>
      <c r="AD126" s="574"/>
      <c r="AE126" s="574"/>
      <c r="AN126" s="125"/>
      <c r="AX126" s="241"/>
    </row>
    <row r="127" spans="1:50" s="2" customFormat="1">
      <c r="A127" s="108"/>
      <c r="B127" s="9" t="s">
        <v>387</v>
      </c>
      <c r="C127" s="244"/>
      <c r="D127" s="146"/>
      <c r="E127" s="146"/>
      <c r="F127" s="103"/>
      <c r="G127" s="147"/>
      <c r="H127" s="147"/>
      <c r="I127" s="147"/>
      <c r="J127" s="147"/>
      <c r="K127" s="442"/>
      <c r="N127" s="416"/>
      <c r="O127" s="115"/>
      <c r="P127" s="453"/>
      <c r="V127" s="139"/>
      <c r="Z127" s="146"/>
      <c r="AA127" s="504"/>
      <c r="AB127" s="16"/>
      <c r="AC127" s="146"/>
      <c r="AD127" s="445"/>
      <c r="AE127" s="445"/>
      <c r="AN127" s="125"/>
      <c r="AX127" s="241"/>
    </row>
    <row r="128" spans="1:50" s="2" customFormat="1">
      <c r="A128" s="108"/>
      <c r="B128" s="9" t="s">
        <v>388</v>
      </c>
      <c r="C128" s="244"/>
      <c r="D128" s="146"/>
      <c r="E128" s="146"/>
      <c r="F128" s="103"/>
      <c r="G128" s="147"/>
      <c r="H128" s="147"/>
      <c r="I128" s="147"/>
      <c r="J128" s="147"/>
      <c r="K128" s="442"/>
      <c r="N128" s="416"/>
      <c r="O128" s="115"/>
      <c r="P128" s="453"/>
      <c r="V128" s="139"/>
      <c r="Z128" s="146"/>
      <c r="AA128" s="504"/>
      <c r="AB128" s="16"/>
      <c r="AC128" s="146"/>
      <c r="AD128" s="445"/>
      <c r="AE128" s="445"/>
      <c r="AN128" s="125"/>
      <c r="AX128" s="241"/>
    </row>
    <row r="129" spans="1:50" s="5" customFormat="1" ht="44.25" customHeight="1">
      <c r="A129" s="585" t="s">
        <v>262</v>
      </c>
      <c r="B129" s="260">
        <v>1130</v>
      </c>
      <c r="C129" s="139">
        <f>C69+C70-C74-C105-C112</f>
        <v>3356.2999999999993</v>
      </c>
      <c r="D129" s="139">
        <f t="shared" ref="D129:J129" si="54">D69+D70-D74-D105-D112</f>
        <v>-1.8189894035458565E-12</v>
      </c>
      <c r="E129" s="139">
        <f t="shared" si="54"/>
        <v>-3.1832314562052488E-12</v>
      </c>
      <c r="F129" s="139">
        <f t="shared" si="54"/>
        <v>1.4779288903810084E-12</v>
      </c>
      <c r="G129" s="139">
        <f t="shared" si="54"/>
        <v>4.5474735088646412E-13</v>
      </c>
      <c r="H129" s="139">
        <f t="shared" si="54"/>
        <v>-6.2527760746888816E-13</v>
      </c>
      <c r="I129" s="139">
        <f t="shared" si="54"/>
        <v>-6.2527760746888816E-13</v>
      </c>
      <c r="J129" s="139">
        <f t="shared" si="54"/>
        <v>1.3642420526593924E-12</v>
      </c>
      <c r="K129" s="246"/>
      <c r="L129" s="611">
        <v>1130</v>
      </c>
      <c r="M129" s="432">
        <f>M69+M70-M80-M82-M83-M96-M105-M112-M81-M93</f>
        <v>7.673861546209082E-13</v>
      </c>
      <c r="N129" s="139">
        <f>N69+N70-N80-N82-N83-N96-N105-N112-N81-N93</f>
        <v>470.4</v>
      </c>
      <c r="O129" s="246"/>
      <c r="P129" s="453">
        <f t="shared" ref="P129:P149" si="55">T129-N129</f>
        <v>742.90000000000066</v>
      </c>
      <c r="R129" s="439">
        <v>1130</v>
      </c>
      <c r="S129" s="432">
        <f>S69+S70-S80-S82-S83-S96-S105-S112-S81-S93</f>
        <v>-4.5474735088646412E-13</v>
      </c>
      <c r="T129" s="432">
        <f>T69+T70-T80-T82-T83-T96-T105-T112-T81-T93</f>
        <v>1213.3000000000006</v>
      </c>
      <c r="U129" s="449"/>
      <c r="V129" s="139">
        <f t="shared" si="35"/>
        <v>220.7000000000005</v>
      </c>
      <c r="X129" s="439">
        <v>1130</v>
      </c>
      <c r="Y129" s="432">
        <f>Y69+Y70-Y80-Y82-Y83-Y96-Y105-Y112-Y81-Y93</f>
        <v>-1.1937117960769683E-12</v>
      </c>
      <c r="Z129" s="139">
        <f>Z69+Z70-Z74-Z105-Z112</f>
        <v>-1.8189894035458565E-12</v>
      </c>
      <c r="AA129" s="506">
        <f>AA69+AA70-AA80-AA82-AA83-AA96-AA105-AA112-AA81-AA93</f>
        <v>1434.0000000000011</v>
      </c>
      <c r="AB129" s="515"/>
      <c r="AC129" s="139">
        <f>AC69+AC70-AC74-AC105-AC112</f>
        <v>-7.8172124196044024E-2</v>
      </c>
      <c r="AD129" s="246"/>
      <c r="AE129" s="246"/>
      <c r="AN129" s="234"/>
      <c r="AX129" s="310"/>
    </row>
    <row r="130" spans="1:50" ht="20.100000000000001" customHeight="1">
      <c r="A130" s="584" t="s">
        <v>95</v>
      </c>
      <c r="B130" s="140">
        <v>1140</v>
      </c>
      <c r="C130" s="243"/>
      <c r="D130" s="149"/>
      <c r="E130" s="149"/>
      <c r="F130" s="88"/>
      <c r="G130" s="88"/>
      <c r="H130" s="88"/>
      <c r="I130" s="88"/>
      <c r="J130" s="88"/>
      <c r="K130" s="250"/>
      <c r="L130" s="608">
        <v>1140</v>
      </c>
      <c r="M130" s="141"/>
      <c r="N130" s="139"/>
      <c r="O130" s="246"/>
      <c r="P130" s="453">
        <f t="shared" si="55"/>
        <v>0</v>
      </c>
      <c r="R130" s="149">
        <v>1140</v>
      </c>
      <c r="S130" s="141"/>
      <c r="T130" s="141"/>
      <c r="U130" s="27"/>
      <c r="V130" s="139">
        <f t="shared" si="35"/>
        <v>0</v>
      </c>
      <c r="X130" s="149">
        <v>1140</v>
      </c>
      <c r="Y130" s="141"/>
      <c r="Z130" s="149"/>
      <c r="AA130" s="506"/>
      <c r="AC130" s="149"/>
      <c r="AD130" s="575"/>
      <c r="AE130" s="575"/>
      <c r="AH130" s="343"/>
    </row>
    <row r="131" spans="1:50" ht="20.100000000000001" customHeight="1">
      <c r="A131" s="584" t="s">
        <v>96</v>
      </c>
      <c r="B131" s="140">
        <v>1150</v>
      </c>
      <c r="C131" s="88"/>
      <c r="D131" s="583"/>
      <c r="E131" s="583"/>
      <c r="F131" s="141"/>
      <c r="G131" s="88"/>
      <c r="H131" s="88"/>
      <c r="I131" s="88"/>
      <c r="J131" s="88"/>
      <c r="K131" s="250"/>
      <c r="L131" s="608">
        <v>1150</v>
      </c>
      <c r="M131" s="141"/>
      <c r="N131" s="139"/>
      <c r="O131" s="246"/>
      <c r="P131" s="453">
        <f t="shared" si="55"/>
        <v>0</v>
      </c>
      <c r="R131" s="149">
        <v>1150</v>
      </c>
      <c r="S131" s="141"/>
      <c r="T131" s="141"/>
      <c r="U131" s="27"/>
      <c r="V131" s="139">
        <f t="shared" si="35"/>
        <v>0</v>
      </c>
      <c r="X131" s="149">
        <v>1150</v>
      </c>
      <c r="Y131" s="141"/>
      <c r="Z131" s="481"/>
      <c r="AA131" s="506"/>
      <c r="AC131" s="474"/>
      <c r="AD131" s="576"/>
      <c r="AE131" s="576"/>
    </row>
    <row r="132" spans="1:50" ht="20.100000000000001" customHeight="1">
      <c r="A132" s="620" t="s">
        <v>298</v>
      </c>
      <c r="B132" s="140">
        <v>1160</v>
      </c>
      <c r="C132" s="148"/>
      <c r="D132" s="149"/>
      <c r="E132" s="149"/>
      <c r="F132" s="141"/>
      <c r="G132" s="88"/>
      <c r="H132" s="88"/>
      <c r="I132" s="88"/>
      <c r="J132" s="88"/>
      <c r="K132" s="250"/>
      <c r="L132" s="608">
        <v>1160</v>
      </c>
      <c r="M132" s="141"/>
      <c r="N132" s="139"/>
      <c r="O132" s="246"/>
      <c r="P132" s="453">
        <f t="shared" si="55"/>
        <v>0</v>
      </c>
      <c r="R132" s="149">
        <v>1160</v>
      </c>
      <c r="S132" s="141"/>
      <c r="T132" s="141"/>
      <c r="U132" s="27"/>
      <c r="V132" s="139">
        <f t="shared" si="35"/>
        <v>0</v>
      </c>
      <c r="X132" s="149">
        <v>1160</v>
      </c>
      <c r="Y132" s="141"/>
      <c r="Z132" s="149"/>
      <c r="AA132" s="506"/>
      <c r="AC132" s="149"/>
      <c r="AD132" s="575"/>
      <c r="AE132" s="575"/>
    </row>
    <row r="133" spans="1:50" ht="20.100000000000001" customHeight="1">
      <c r="A133" s="620" t="s">
        <v>488</v>
      </c>
      <c r="B133" s="140">
        <v>1170</v>
      </c>
      <c r="C133" s="88"/>
      <c r="D133" s="149"/>
      <c r="E133" s="149"/>
      <c r="F133" s="141"/>
      <c r="G133" s="88"/>
      <c r="H133" s="88"/>
      <c r="I133" s="88"/>
      <c r="J133" s="88"/>
      <c r="K133" s="250"/>
      <c r="L133" s="608">
        <v>1170</v>
      </c>
      <c r="M133" s="141"/>
      <c r="N133" s="139"/>
      <c r="O133" s="246"/>
      <c r="P133" s="453">
        <f t="shared" si="55"/>
        <v>0</v>
      </c>
      <c r="R133" s="149">
        <v>1170</v>
      </c>
      <c r="S133" s="141"/>
      <c r="T133" s="141"/>
      <c r="U133" s="27"/>
      <c r="V133" s="139">
        <f t="shared" si="35"/>
        <v>0</v>
      </c>
      <c r="X133" s="149">
        <v>1170</v>
      </c>
      <c r="Y133" s="141"/>
      <c r="Z133" s="149"/>
      <c r="AA133" s="506"/>
      <c r="AC133" s="149"/>
      <c r="AD133" s="575"/>
      <c r="AE133" s="575"/>
    </row>
    <row r="134" spans="1:50" s="5" customFormat="1" ht="43.5" customHeight="1">
      <c r="A134" s="585" t="s">
        <v>263</v>
      </c>
      <c r="B134" s="138">
        <v>1200</v>
      </c>
      <c r="C134" s="143">
        <f>C129+C130+C132-C131-C133</f>
        <v>3356.2999999999993</v>
      </c>
      <c r="D134" s="143">
        <f>D129+D130+D132-D131-D133</f>
        <v>-1.8189894035458565E-12</v>
      </c>
      <c r="E134" s="143">
        <f>E129+E130+E132-E131-E133</f>
        <v>-3.1832314562052488E-12</v>
      </c>
      <c r="F134" s="143">
        <f>F129+F130+F132-F131-F133</f>
        <v>1.4779288903810084E-12</v>
      </c>
      <c r="G134" s="143">
        <f t="shared" ref="G134:J134" si="56">G129+G130+G132-G131-G133</f>
        <v>4.5474735088646412E-13</v>
      </c>
      <c r="H134" s="143">
        <f t="shared" si="56"/>
        <v>-6.2527760746888816E-13</v>
      </c>
      <c r="I134" s="143">
        <f>I129+I130+I132-I131-I133</f>
        <v>-6.2527760746888816E-13</v>
      </c>
      <c r="J134" s="143">
        <f t="shared" si="56"/>
        <v>1.3642420526593924E-12</v>
      </c>
      <c r="K134" s="250"/>
      <c r="L134" s="612">
        <v>1200</v>
      </c>
      <c r="M134" s="432">
        <f>M129+M132+M130-M131-M133</f>
        <v>7.673861546209082E-13</v>
      </c>
      <c r="N134" s="139">
        <f t="shared" ref="N134" si="57">N129+N132+N130-N131-N133</f>
        <v>470.4</v>
      </c>
      <c r="O134" s="246"/>
      <c r="P134" s="453">
        <f t="shared" si="55"/>
        <v>742.90000000000066</v>
      </c>
      <c r="R134" s="437">
        <v>1200</v>
      </c>
      <c r="S134" s="432">
        <f>S129+S132+S130-S131-S133</f>
        <v>-4.5474735088646412E-13</v>
      </c>
      <c r="T134" s="432">
        <f>T129+T132+T130-T131-T133</f>
        <v>1213.3000000000006</v>
      </c>
      <c r="U134" s="449"/>
      <c r="V134" s="139">
        <f t="shared" si="35"/>
        <v>220.7000000000005</v>
      </c>
      <c r="X134" s="437">
        <v>1200</v>
      </c>
      <c r="Y134" s="432">
        <f>Y129+Y132+Y130-Y131-Y133</f>
        <v>-1.1937117960769683E-12</v>
      </c>
      <c r="Z134" s="143">
        <f>Z129+Z130+Z132-Z131-Z133</f>
        <v>-1.8189894035458565E-12</v>
      </c>
      <c r="AA134" s="506">
        <f>AA129+AA132+AA130-AA131-AA133</f>
        <v>1434.0000000000011</v>
      </c>
      <c r="AB134" s="515"/>
      <c r="AC134" s="143">
        <f>AC129+AC130+AC132-AC131-AC133</f>
        <v>-7.8172124196044024E-2</v>
      </c>
      <c r="AD134" s="250"/>
      <c r="AE134" s="250"/>
      <c r="AN134" s="234"/>
      <c r="AX134" s="310"/>
    </row>
    <row r="135" spans="1:50" ht="20.100000000000001" customHeight="1">
      <c r="A135" s="8" t="s">
        <v>117</v>
      </c>
      <c r="B135" s="9">
        <v>1210</v>
      </c>
      <c r="C135" s="12"/>
      <c r="D135" s="12"/>
      <c r="E135" s="12"/>
      <c r="F135" s="12"/>
      <c r="G135" s="12"/>
      <c r="H135" s="12"/>
      <c r="I135" s="12"/>
      <c r="J135" s="12"/>
      <c r="K135" s="577"/>
      <c r="L135" s="605">
        <v>1210</v>
      </c>
      <c r="M135" s="141"/>
      <c r="N135" s="139"/>
      <c r="O135" s="246"/>
      <c r="P135" s="453">
        <f t="shared" si="55"/>
        <v>0</v>
      </c>
      <c r="R135" s="150">
        <v>1210</v>
      </c>
      <c r="S135" s="141"/>
      <c r="T135" s="141"/>
      <c r="U135" s="27"/>
      <c r="V135" s="139">
        <f t="shared" si="35"/>
        <v>0</v>
      </c>
      <c r="X135" s="150">
        <v>1210</v>
      </c>
      <c r="Y135" s="141"/>
      <c r="Z135" s="12"/>
      <c r="AA135" s="506"/>
      <c r="AC135" s="12"/>
      <c r="AD135" s="577"/>
      <c r="AE135" s="577"/>
    </row>
    <row r="136" spans="1:50" ht="20.100000000000001" customHeight="1">
      <c r="A136" s="8" t="s">
        <v>118</v>
      </c>
      <c r="B136" s="9">
        <v>1220</v>
      </c>
      <c r="C136" s="12"/>
      <c r="D136" s="12"/>
      <c r="E136" s="12"/>
      <c r="F136" s="12"/>
      <c r="G136" s="12"/>
      <c r="H136" s="12"/>
      <c r="I136" s="12"/>
      <c r="J136" s="12"/>
      <c r="K136" s="577"/>
      <c r="L136" s="605">
        <v>1220</v>
      </c>
      <c r="M136" s="141"/>
      <c r="N136" s="139"/>
      <c r="O136" s="246"/>
      <c r="P136" s="453">
        <f t="shared" si="55"/>
        <v>0</v>
      </c>
      <c r="R136" s="150">
        <v>1220</v>
      </c>
      <c r="S136" s="141"/>
      <c r="T136" s="141"/>
      <c r="U136" s="27"/>
      <c r="V136" s="139">
        <f t="shared" si="35"/>
        <v>0</v>
      </c>
      <c r="X136" s="150">
        <v>1220</v>
      </c>
      <c r="Y136" s="141"/>
      <c r="Z136" s="12"/>
      <c r="AA136" s="506"/>
      <c r="AC136" s="12"/>
      <c r="AD136" s="577"/>
      <c r="AE136" s="577"/>
    </row>
    <row r="137" spans="1:50" s="5" customFormat="1" ht="43.5" customHeight="1">
      <c r="A137" s="585" t="s">
        <v>265</v>
      </c>
      <c r="B137" s="138">
        <v>1230</v>
      </c>
      <c r="C137" s="143">
        <f t="shared" ref="C137:J137" si="58">C134-C135</f>
        <v>3356.2999999999993</v>
      </c>
      <c r="D137" s="143">
        <f t="shared" si="58"/>
        <v>-1.8189894035458565E-12</v>
      </c>
      <c r="E137" s="143">
        <f t="shared" si="58"/>
        <v>-3.1832314562052488E-12</v>
      </c>
      <c r="F137" s="143">
        <f t="shared" si="58"/>
        <v>1.4779288903810084E-12</v>
      </c>
      <c r="G137" s="143">
        <f t="shared" si="58"/>
        <v>4.5474735088646412E-13</v>
      </c>
      <c r="H137" s="143">
        <f t="shared" si="58"/>
        <v>-6.2527760746888816E-13</v>
      </c>
      <c r="I137" s="143">
        <f t="shared" si="58"/>
        <v>-6.2527760746888816E-13</v>
      </c>
      <c r="J137" s="143">
        <f t="shared" si="58"/>
        <v>1.3642420526593924E-12</v>
      </c>
      <c r="K137" s="250"/>
      <c r="L137" s="612">
        <v>1230</v>
      </c>
      <c r="M137" s="432">
        <f>M134-M135</f>
        <v>7.673861546209082E-13</v>
      </c>
      <c r="N137" s="139">
        <f t="shared" ref="N137" si="59">N134-N135</f>
        <v>470.4</v>
      </c>
      <c r="O137" s="246"/>
      <c r="P137" s="453">
        <f t="shared" si="55"/>
        <v>742.90000000000066</v>
      </c>
      <c r="R137" s="437">
        <v>1230</v>
      </c>
      <c r="S137" s="432">
        <f>S134-S135</f>
        <v>-4.5474735088646412E-13</v>
      </c>
      <c r="T137" s="432">
        <f>T134-T135</f>
        <v>1213.3000000000006</v>
      </c>
      <c r="U137" s="449"/>
      <c r="V137" s="139">
        <f t="shared" si="35"/>
        <v>220.7000000000005</v>
      </c>
      <c r="X137" s="437">
        <v>1230</v>
      </c>
      <c r="Y137" s="432">
        <f>Y134-Y135</f>
        <v>-1.1937117960769683E-12</v>
      </c>
      <c r="Z137" s="143">
        <f t="shared" ref="Z137" si="60">Z134-Z135</f>
        <v>-1.8189894035458565E-12</v>
      </c>
      <c r="AA137" s="506">
        <f>AA134-AA135</f>
        <v>1434.0000000000011</v>
      </c>
      <c r="AB137" s="515"/>
      <c r="AC137" s="143">
        <f t="shared" ref="AC137" si="61">AC134-AC135</f>
        <v>-7.8172124196044024E-2</v>
      </c>
      <c r="AD137" s="250"/>
      <c r="AE137" s="250"/>
      <c r="AN137" s="234"/>
      <c r="AX137" s="310"/>
    </row>
    <row r="138" spans="1:50" s="5" customFormat="1" ht="20.100000000000001" customHeight="1">
      <c r="A138" s="714" t="s">
        <v>213</v>
      </c>
      <c r="B138" s="714"/>
      <c r="C138" s="714"/>
      <c r="D138" s="714"/>
      <c r="E138" s="714"/>
      <c r="F138" s="714"/>
      <c r="G138" s="714"/>
      <c r="H138" s="714"/>
      <c r="I138" s="714"/>
      <c r="J138" s="714"/>
      <c r="K138" s="597"/>
      <c r="N138" s="406"/>
      <c r="O138" s="112"/>
      <c r="P138" s="453">
        <f t="shared" si="55"/>
        <v>0</v>
      </c>
      <c r="R138" s="433"/>
      <c r="S138" s="433"/>
      <c r="T138" s="433"/>
      <c r="U138" s="62"/>
      <c r="V138" s="139">
        <f t="shared" si="35"/>
        <v>0</v>
      </c>
      <c r="X138" s="433"/>
      <c r="Y138" s="433"/>
      <c r="Z138" s="433"/>
      <c r="AA138" s="505"/>
      <c r="AB138" s="515"/>
      <c r="AC138" s="525"/>
      <c r="AD138" s="534"/>
      <c r="AE138" s="534"/>
      <c r="AN138" s="234"/>
      <c r="AX138" s="310"/>
    </row>
    <row r="139" spans="1:50" ht="20.100000000000001" customHeight="1">
      <c r="A139" s="8" t="s">
        <v>8</v>
      </c>
      <c r="B139" s="9">
        <v>1240</v>
      </c>
      <c r="C139" s="12">
        <f>C33+C70+C130+C132</f>
        <v>27483.1</v>
      </c>
      <c r="D139" s="12">
        <f t="shared" ref="D139:J139" si="62">D33+D70+D130+D132</f>
        <v>39090.899999999994</v>
      </c>
      <c r="E139" s="12">
        <f t="shared" si="62"/>
        <v>34636.6</v>
      </c>
      <c r="F139" s="12">
        <f t="shared" si="62"/>
        <v>35304.400000000001</v>
      </c>
      <c r="G139" s="12">
        <f t="shared" si="62"/>
        <v>9842</v>
      </c>
      <c r="H139" s="12">
        <f t="shared" si="62"/>
        <v>8353.1</v>
      </c>
      <c r="I139" s="12">
        <f t="shared" si="62"/>
        <v>8379.1</v>
      </c>
      <c r="J139" s="12">
        <f t="shared" si="62"/>
        <v>8730.2000000000007</v>
      </c>
      <c r="K139" s="577"/>
      <c r="L139" s="605">
        <v>1240</v>
      </c>
      <c r="M139" s="103">
        <f>M33+M70</f>
        <v>8773.5</v>
      </c>
      <c r="N139" s="454">
        <f>N33+N70</f>
        <v>8162.7000000000007</v>
      </c>
      <c r="O139" s="248"/>
      <c r="P139" s="453">
        <f t="shared" si="55"/>
        <v>8944.7999999999993</v>
      </c>
      <c r="R139" s="150">
        <v>1240</v>
      </c>
      <c r="S139" s="103">
        <f>S33+S70</f>
        <v>18460.8</v>
      </c>
      <c r="T139" s="103">
        <f>T33+T70</f>
        <v>17107.5</v>
      </c>
      <c r="U139" s="450"/>
      <c r="V139" s="139">
        <f t="shared" ref="V139:V149" si="63">AA139-T139</f>
        <v>7949.7999999999993</v>
      </c>
      <c r="W139" s="350"/>
      <c r="X139" s="150">
        <v>1240</v>
      </c>
      <c r="Y139" s="103">
        <f>Y33+Y70</f>
        <v>28543.200000000001</v>
      </c>
      <c r="Z139" s="537"/>
      <c r="AA139" s="507">
        <f>AA33+AA70</f>
        <v>25057.3</v>
      </c>
      <c r="AC139" s="501">
        <f>AC33+AC70</f>
        <v>35029.9</v>
      </c>
      <c r="AD139" s="248"/>
      <c r="AE139" s="248"/>
      <c r="AF139" s="350"/>
      <c r="AG139" s="242">
        <f t="shared" ref="AG139:AG149" si="64">AC139-E139</f>
        <v>393.30000000000291</v>
      </c>
    </row>
    <row r="140" spans="1:50" ht="20.100000000000001" customHeight="1">
      <c r="A140" s="8" t="s">
        <v>99</v>
      </c>
      <c r="B140" s="9">
        <v>1250</v>
      </c>
      <c r="C140" s="12">
        <f>C34+C74+C105+C112+C131+C133+C135</f>
        <v>24126.800000000003</v>
      </c>
      <c r="D140" s="12">
        <f t="shared" ref="D140:J140" si="65">D34+D74+D105+D112+D131+D133+D135</f>
        <v>39090.899999999994</v>
      </c>
      <c r="E140" s="12">
        <f t="shared" si="65"/>
        <v>34636.6</v>
      </c>
      <c r="F140" s="12">
        <f t="shared" si="65"/>
        <v>35304.400000000001</v>
      </c>
      <c r="G140" s="12">
        <f t="shared" si="65"/>
        <v>9842</v>
      </c>
      <c r="H140" s="12">
        <f t="shared" si="65"/>
        <v>8353.1</v>
      </c>
      <c r="I140" s="12">
        <f t="shared" si="65"/>
        <v>8379.1</v>
      </c>
      <c r="J140" s="12">
        <f t="shared" si="65"/>
        <v>8730.1999999999989</v>
      </c>
      <c r="K140" s="577"/>
      <c r="L140" s="605">
        <v>1250</v>
      </c>
      <c r="M140" s="103">
        <f>M34+M74+M112+M133</f>
        <v>8773.5</v>
      </c>
      <c r="N140" s="454">
        <f>N34+N74+N112+N133</f>
        <v>7692.3000000000011</v>
      </c>
      <c r="O140" s="248"/>
      <c r="P140" s="453">
        <f t="shared" si="55"/>
        <v>8201.9</v>
      </c>
      <c r="R140" s="150">
        <v>1250</v>
      </c>
      <c r="S140" s="103">
        <f>S34+S74+S112+S133</f>
        <v>18460.8</v>
      </c>
      <c r="T140" s="103">
        <f>T34+T74+T112+T133</f>
        <v>15894.2</v>
      </c>
      <c r="U140" s="450"/>
      <c r="V140" s="139">
        <f t="shared" si="63"/>
        <v>7729.0999999999949</v>
      </c>
      <c r="W140" s="350"/>
      <c r="X140" s="150">
        <v>1250</v>
      </c>
      <c r="Y140" s="103">
        <f>Y34+Y74+Y112+Y133</f>
        <v>28543.200000000001</v>
      </c>
      <c r="Z140" s="537"/>
      <c r="AA140" s="507">
        <f>AA34+AA74+AA112+AA133</f>
        <v>23623.299999999996</v>
      </c>
      <c r="AC140" s="501">
        <f>AC34+AC74+AC112+AC133</f>
        <v>35029.978172124196</v>
      </c>
      <c r="AD140" s="248"/>
      <c r="AE140" s="248"/>
      <c r="AF140" s="350"/>
      <c r="AG140" s="242">
        <f t="shared" si="64"/>
        <v>393.37817212419759</v>
      </c>
    </row>
    <row r="141" spans="1:50" ht="20.100000000000001" customHeight="1">
      <c r="A141" s="714" t="s">
        <v>183</v>
      </c>
      <c r="B141" s="714"/>
      <c r="C141" s="714"/>
      <c r="D141" s="714"/>
      <c r="E141" s="714"/>
      <c r="F141" s="714"/>
      <c r="G141" s="714"/>
      <c r="H141" s="714"/>
      <c r="I141" s="714"/>
      <c r="J141" s="714"/>
      <c r="K141" s="597"/>
      <c r="L141" s="433"/>
      <c r="M141" s="433"/>
      <c r="N141" s="467"/>
      <c r="O141" s="534"/>
      <c r="P141" s="453">
        <f t="shared" si="55"/>
        <v>0</v>
      </c>
      <c r="R141" s="433"/>
      <c r="S141" s="433"/>
      <c r="T141" s="433"/>
      <c r="U141" s="62"/>
      <c r="V141" s="139">
        <f t="shared" si="63"/>
        <v>0</v>
      </c>
      <c r="W141" s="350"/>
      <c r="X141" s="433"/>
      <c r="Y141" s="433"/>
      <c r="Z141" s="433"/>
      <c r="AA141" s="505"/>
      <c r="AC141" s="525"/>
      <c r="AD141" s="534"/>
      <c r="AE141" s="534"/>
      <c r="AF141" s="350"/>
      <c r="AG141" s="242">
        <f t="shared" si="64"/>
        <v>0</v>
      </c>
    </row>
    <row r="142" spans="1:50" ht="20.100000000000001" customHeight="1">
      <c r="A142" s="8" t="s">
        <v>214</v>
      </c>
      <c r="B142" s="150">
        <v>1260</v>
      </c>
      <c r="C142" s="261">
        <f>C143+C144</f>
        <v>4038.5</v>
      </c>
      <c r="D142" s="96">
        <f t="shared" ref="D142:J142" si="66">D143+D144</f>
        <v>4626.8999999999996</v>
      </c>
      <c r="E142" s="96">
        <f t="shared" si="66"/>
        <v>2951.3</v>
      </c>
      <c r="F142" s="96">
        <f>F143+F144</f>
        <v>3915</v>
      </c>
      <c r="G142" s="96">
        <f t="shared" si="66"/>
        <v>1222.4000000000001</v>
      </c>
      <c r="H142" s="96">
        <f t="shared" si="66"/>
        <v>795.2</v>
      </c>
      <c r="I142" s="96">
        <f t="shared" si="66"/>
        <v>788.40000000000009</v>
      </c>
      <c r="J142" s="96">
        <f t="shared" si="66"/>
        <v>1109</v>
      </c>
      <c r="K142" s="616"/>
      <c r="L142" s="613">
        <v>1260</v>
      </c>
      <c r="M142" s="258">
        <f>M143+M144</f>
        <v>1265</v>
      </c>
      <c r="N142" s="455">
        <f t="shared" ref="N142" si="67">N143+N144</f>
        <v>760.90000000000009</v>
      </c>
      <c r="O142" s="445"/>
      <c r="P142" s="453">
        <f t="shared" si="55"/>
        <v>543.29999999999973</v>
      </c>
      <c r="R142" s="150">
        <v>1260</v>
      </c>
      <c r="S142" s="258">
        <f>S143+S144</f>
        <v>2245.5</v>
      </c>
      <c r="T142" s="258">
        <f t="shared" ref="T142" si="68">T143+T144</f>
        <v>1304.1999999999998</v>
      </c>
      <c r="U142" s="445"/>
      <c r="V142" s="139">
        <f t="shared" si="63"/>
        <v>295.00000000000023</v>
      </c>
      <c r="X142" s="150">
        <v>1260</v>
      </c>
      <c r="Y142" s="258">
        <f>Y143+Y144</f>
        <v>3198.5</v>
      </c>
      <c r="Z142" s="538"/>
      <c r="AA142" s="511">
        <f>AA143+AA144</f>
        <v>1599.2</v>
      </c>
      <c r="AC142" s="502">
        <f>AC143+AC144</f>
        <v>3344.6</v>
      </c>
      <c r="AD142" s="445"/>
      <c r="AE142" s="445"/>
      <c r="AF142" s="350"/>
      <c r="AG142" s="242">
        <f t="shared" si="64"/>
        <v>393.29999999999973</v>
      </c>
    </row>
    <row r="143" spans="1:50" ht="20.100000000000001" customHeight="1">
      <c r="A143" s="8" t="s">
        <v>212</v>
      </c>
      <c r="B143" s="150">
        <v>1261</v>
      </c>
      <c r="C143" s="262">
        <f t="shared" ref="C143:J143" si="69">C35+C124</f>
        <v>3253.6</v>
      </c>
      <c r="D143" s="262">
        <f t="shared" si="69"/>
        <v>2991</v>
      </c>
      <c r="E143" s="262">
        <f t="shared" si="69"/>
        <v>1502.3</v>
      </c>
      <c r="F143" s="262">
        <f t="shared" si="69"/>
        <v>2512.9</v>
      </c>
      <c r="G143" s="262">
        <f t="shared" si="69"/>
        <v>620.19999999999993</v>
      </c>
      <c r="H143" s="262">
        <f t="shared" si="69"/>
        <v>631</v>
      </c>
      <c r="I143" s="262">
        <f t="shared" si="69"/>
        <v>630.80000000000007</v>
      </c>
      <c r="J143" s="262">
        <f t="shared" si="69"/>
        <v>630.90000000000009</v>
      </c>
      <c r="K143" s="617"/>
      <c r="L143" s="613">
        <v>1261</v>
      </c>
      <c r="M143" s="244">
        <f>M35+M124</f>
        <v>748.1</v>
      </c>
      <c r="N143" s="454">
        <f>N35+N124</f>
        <v>295.49999999999994</v>
      </c>
      <c r="O143" s="248"/>
      <c r="P143" s="453">
        <f t="shared" si="55"/>
        <v>295.50000000000006</v>
      </c>
      <c r="R143" s="150">
        <v>1261</v>
      </c>
      <c r="S143" s="244">
        <f>S35+S124</f>
        <v>1506.1</v>
      </c>
      <c r="T143" s="244">
        <f>T35+T124</f>
        <v>591</v>
      </c>
      <c r="U143" s="248"/>
      <c r="V143" s="139">
        <f t="shared" si="63"/>
        <v>191.39999999999998</v>
      </c>
      <c r="X143" s="150">
        <v>1261</v>
      </c>
      <c r="Y143" s="244">
        <f>Y35+Y124</f>
        <v>2244.1</v>
      </c>
      <c r="Z143" s="536"/>
      <c r="AA143" s="507">
        <f>AA35+AA124</f>
        <v>782.4</v>
      </c>
      <c r="AC143" s="501">
        <f>AC35+AC124</f>
        <v>1495.6</v>
      </c>
      <c r="AD143" s="248"/>
      <c r="AE143" s="248"/>
      <c r="AF143" s="350"/>
      <c r="AG143" s="242">
        <f t="shared" si="64"/>
        <v>-6.7000000000000455</v>
      </c>
    </row>
    <row r="144" spans="1:50" ht="20.100000000000001" customHeight="1">
      <c r="A144" s="8" t="s">
        <v>14</v>
      </c>
      <c r="B144" s="150">
        <v>1262</v>
      </c>
      <c r="C144" s="262">
        <f t="shared" ref="C144:J144" si="70">C37+C45+C46+C99+C100+C120+C121+C122+C101</f>
        <v>784.89999999999986</v>
      </c>
      <c r="D144" s="262">
        <f t="shared" si="70"/>
        <v>1635.9</v>
      </c>
      <c r="E144" s="262">
        <f t="shared" si="70"/>
        <v>1449.0000000000002</v>
      </c>
      <c r="F144" s="262">
        <f t="shared" si="70"/>
        <v>1402.1</v>
      </c>
      <c r="G144" s="262">
        <f t="shared" si="70"/>
        <v>602.20000000000005</v>
      </c>
      <c r="H144" s="262">
        <f t="shared" si="70"/>
        <v>164.2</v>
      </c>
      <c r="I144" s="262">
        <f t="shared" si="70"/>
        <v>157.6</v>
      </c>
      <c r="J144" s="262">
        <f t="shared" si="70"/>
        <v>478.09999999999997</v>
      </c>
      <c r="K144" s="617"/>
      <c r="L144" s="613">
        <v>1262</v>
      </c>
      <c r="M144" s="244">
        <f>M121+M100+M37+M45+M46+M99+M101+M120+M122</f>
        <v>516.9</v>
      </c>
      <c r="N144" s="454">
        <f>N37+N45+N46+N99+N100+N101+N120+N121+N122</f>
        <v>465.40000000000009</v>
      </c>
      <c r="O144" s="248"/>
      <c r="P144" s="453">
        <f t="shared" si="55"/>
        <v>247.79999999999984</v>
      </c>
      <c r="R144" s="150">
        <v>1262</v>
      </c>
      <c r="S144" s="244">
        <f>S121+S100+S37+S45+S46+S99+S101+S120+S122</f>
        <v>739.4</v>
      </c>
      <c r="T144" s="244">
        <f>T37+T45+T46+T99+T100+T101+T120+T121+T122</f>
        <v>713.19999999999993</v>
      </c>
      <c r="U144" s="248"/>
      <c r="V144" s="139">
        <f t="shared" si="63"/>
        <v>103.60000000000014</v>
      </c>
      <c r="X144" s="150">
        <v>1262</v>
      </c>
      <c r="Y144" s="244">
        <f>Y121+Y100+Y37+Y45+Y46+Y99+Y101+Y120+Y122</f>
        <v>954.40000000000009</v>
      </c>
      <c r="Z144" s="536"/>
      <c r="AA144" s="507">
        <f>AA37+AA45+AA46+AA99+AA100+AA101+AA120+AA121+AA122</f>
        <v>816.80000000000007</v>
      </c>
      <c r="AC144" s="501">
        <f>AC37+AC45+AC46+AC99+AC100+AC101+AC120+AC121+AC122</f>
        <v>1849</v>
      </c>
      <c r="AD144" s="248"/>
      <c r="AE144" s="248"/>
      <c r="AF144" s="350"/>
      <c r="AG144" s="242">
        <f t="shared" si="64"/>
        <v>399.99999999999977</v>
      </c>
    </row>
    <row r="145" spans="1:50" ht="20.100000000000001" customHeight="1">
      <c r="A145" s="8" t="s">
        <v>4</v>
      </c>
      <c r="B145" s="150">
        <v>1270</v>
      </c>
      <c r="C145" s="261">
        <f t="shared" ref="C145:J146" si="71">C38+C82</f>
        <v>13765.5</v>
      </c>
      <c r="D145" s="261">
        <f t="shared" si="71"/>
        <v>26158.799999999999</v>
      </c>
      <c r="E145" s="261">
        <f t="shared" si="71"/>
        <v>22463.1</v>
      </c>
      <c r="F145" s="261">
        <f t="shared" si="71"/>
        <v>24579.1</v>
      </c>
      <c r="G145" s="261">
        <f t="shared" si="71"/>
        <v>6094.4</v>
      </c>
      <c r="H145" s="261">
        <f t="shared" si="71"/>
        <v>6118.4</v>
      </c>
      <c r="I145" s="261">
        <f t="shared" si="71"/>
        <v>6170.3</v>
      </c>
      <c r="J145" s="261">
        <f t="shared" si="71"/>
        <v>6196</v>
      </c>
      <c r="K145" s="618"/>
      <c r="L145" s="613">
        <v>1270</v>
      </c>
      <c r="M145" s="244">
        <f>M38+M82</f>
        <v>5750.7</v>
      </c>
      <c r="N145" s="454">
        <f>N38+N82</f>
        <v>5094.7</v>
      </c>
      <c r="O145" s="248"/>
      <c r="P145" s="453">
        <f t="shared" si="55"/>
        <v>5410.5999999999995</v>
      </c>
      <c r="R145" s="150">
        <v>1270</v>
      </c>
      <c r="S145" s="244">
        <f>S38+S82</f>
        <v>12553.4</v>
      </c>
      <c r="T145" s="244">
        <f>T38+T82</f>
        <v>10505.3</v>
      </c>
      <c r="U145" s="248"/>
      <c r="V145" s="139">
        <f t="shared" si="63"/>
        <v>5352.7000000000007</v>
      </c>
      <c r="X145" s="150">
        <v>1270</v>
      </c>
      <c r="Y145" s="244">
        <f>Y38+Y82</f>
        <v>19356.099999999999</v>
      </c>
      <c r="Z145" s="536"/>
      <c r="AA145" s="507">
        <f>AA38+AA82</f>
        <v>15858</v>
      </c>
      <c r="AC145" s="501">
        <f>AC38+AC82</f>
        <v>22463.1</v>
      </c>
      <c r="AD145" s="248"/>
      <c r="AE145" s="248"/>
      <c r="AF145" s="350"/>
      <c r="AG145" s="242">
        <f t="shared" si="64"/>
        <v>0</v>
      </c>
    </row>
    <row r="146" spans="1:50" ht="20.100000000000001" customHeight="1">
      <c r="A146" s="8" t="s">
        <v>5</v>
      </c>
      <c r="B146" s="150">
        <v>1280</v>
      </c>
      <c r="C146" s="261">
        <f t="shared" si="71"/>
        <v>2584.1999999999998</v>
      </c>
      <c r="D146" s="261">
        <f t="shared" si="71"/>
        <v>4959.7</v>
      </c>
      <c r="E146" s="261">
        <f t="shared" si="71"/>
        <v>4260.6000000000004</v>
      </c>
      <c r="F146" s="261">
        <f t="shared" si="71"/>
        <v>4661.9000000000005</v>
      </c>
      <c r="G146" s="261">
        <f t="shared" si="71"/>
        <v>1155.8</v>
      </c>
      <c r="H146" s="261">
        <f t="shared" si="71"/>
        <v>1160.5</v>
      </c>
      <c r="I146" s="261">
        <f t="shared" si="71"/>
        <v>1170.4000000000001</v>
      </c>
      <c r="J146" s="261">
        <f t="shared" si="71"/>
        <v>1175.2</v>
      </c>
      <c r="K146" s="618"/>
      <c r="L146" s="613">
        <v>1280</v>
      </c>
      <c r="M146" s="244">
        <f>M39+M83</f>
        <v>1126.9000000000001</v>
      </c>
      <c r="N146" s="454">
        <f>N39+N83</f>
        <v>939.9</v>
      </c>
      <c r="O146" s="248"/>
      <c r="P146" s="453">
        <f t="shared" si="55"/>
        <v>981.99999999999989</v>
      </c>
      <c r="R146" s="150">
        <v>1280</v>
      </c>
      <c r="S146" s="244">
        <f>S39+S83</f>
        <v>2404.5</v>
      </c>
      <c r="T146" s="244">
        <f>T39+T83</f>
        <v>1921.8999999999999</v>
      </c>
      <c r="U146" s="248"/>
      <c r="V146" s="139">
        <f t="shared" si="63"/>
        <v>979.2000000000005</v>
      </c>
      <c r="X146" s="150">
        <v>1280</v>
      </c>
      <c r="Y146" s="244">
        <f>Y39+Y83</f>
        <v>3682.1</v>
      </c>
      <c r="Z146" s="536"/>
      <c r="AA146" s="507">
        <f>AA39+AA83</f>
        <v>2901.1000000000004</v>
      </c>
      <c r="AC146" s="501">
        <f>AC39+AC83</f>
        <v>4260.678172124195</v>
      </c>
      <c r="AD146" s="248"/>
      <c r="AE146" s="248"/>
      <c r="AF146" s="350"/>
      <c r="AG146" s="242">
        <f t="shared" si="64"/>
        <v>7.8172124194679782E-2</v>
      </c>
    </row>
    <row r="147" spans="1:50" ht="20.100000000000001" customHeight="1">
      <c r="A147" s="8" t="s">
        <v>6</v>
      </c>
      <c r="B147" s="150">
        <v>1290</v>
      </c>
      <c r="C147" s="261"/>
      <c r="D147" s="96"/>
      <c r="E147" s="96"/>
      <c r="F147" s="12">
        <f t="shared" ref="F147" si="72">G147+H147+I147+J147</f>
        <v>0</v>
      </c>
      <c r="G147" s="88"/>
      <c r="H147" s="88"/>
      <c r="I147" s="12"/>
      <c r="J147" s="12"/>
      <c r="K147" s="577"/>
      <c r="L147" s="613">
        <v>1290</v>
      </c>
      <c r="M147" s="244"/>
      <c r="N147" s="139"/>
      <c r="O147" s="246"/>
      <c r="P147" s="453">
        <f t="shared" si="55"/>
        <v>0</v>
      </c>
      <c r="R147" s="150">
        <v>1290</v>
      </c>
      <c r="S147" s="244"/>
      <c r="T147" s="238"/>
      <c r="U147" s="246"/>
      <c r="V147" s="139">
        <f t="shared" si="63"/>
        <v>0</v>
      </c>
      <c r="X147" s="150">
        <v>1290</v>
      </c>
      <c r="Y147" s="244"/>
      <c r="Z147" s="536"/>
      <c r="AA147" s="506"/>
      <c r="AC147" s="500"/>
      <c r="AD147" s="246"/>
      <c r="AE147" s="246"/>
      <c r="AF147" s="350"/>
      <c r="AG147" s="242">
        <f t="shared" si="64"/>
        <v>0</v>
      </c>
    </row>
    <row r="148" spans="1:50" ht="20.100000000000001" customHeight="1">
      <c r="A148" s="8" t="s">
        <v>15</v>
      </c>
      <c r="B148" s="150">
        <v>1300</v>
      </c>
      <c r="C148" s="261">
        <f t="shared" ref="C148:J148" si="73">C48+C80+C81+C123+C125+C126+C40</f>
        <v>3738.6</v>
      </c>
      <c r="D148" s="261">
        <f t="shared" si="73"/>
        <v>3345.5</v>
      </c>
      <c r="E148" s="261">
        <f t="shared" si="73"/>
        <v>4961.6000000000004</v>
      </c>
      <c r="F148" s="261">
        <f t="shared" si="73"/>
        <v>2148.4</v>
      </c>
      <c r="G148" s="261">
        <f t="shared" si="73"/>
        <v>1369.4</v>
      </c>
      <c r="H148" s="261">
        <f t="shared" si="73"/>
        <v>279</v>
      </c>
      <c r="I148" s="261">
        <f t="shared" si="73"/>
        <v>250</v>
      </c>
      <c r="J148" s="261">
        <f t="shared" si="73"/>
        <v>250</v>
      </c>
      <c r="K148" s="618"/>
      <c r="L148" s="613">
        <v>1300</v>
      </c>
      <c r="M148" s="244">
        <f>M40+M48+M79+M80+M81+M88+M89+M92+M93+M123+M125+M126+M133</f>
        <v>630.90000000000009</v>
      </c>
      <c r="N148" s="454">
        <f>N40+N48+N79+N80+N81+N88+N89+N92+N93+N123+N125+N126+N133</f>
        <v>905.40000000000009</v>
      </c>
      <c r="O148" s="248"/>
      <c r="P148" s="453">
        <f t="shared" si="55"/>
        <v>1257.4000000000001</v>
      </c>
      <c r="R148" s="150">
        <v>1300</v>
      </c>
      <c r="S148" s="244">
        <f>S40+S48+S79+S80+S81+S88+S89+S92+S93+S123+S125+S126+S133</f>
        <v>1257.4000000000001</v>
      </c>
      <c r="T148" s="244">
        <f>T40+T48+T79+T80+T81+T88+T89+T92+T93+T123+T125+T126+T133</f>
        <v>2162.8000000000002</v>
      </c>
      <c r="U148" s="248"/>
      <c r="V148" s="139">
        <f t="shared" si="63"/>
        <v>1102.1999999999998</v>
      </c>
      <c r="X148" s="150">
        <v>1300</v>
      </c>
      <c r="Y148" s="244">
        <f>Y40+Y48+Y79+Y80+Y81+Y88+Y89+Y92+Y93+Y123+Y125+Y126+Y133</f>
        <v>2306.5</v>
      </c>
      <c r="Z148" s="536"/>
      <c r="AA148" s="507">
        <f>AA40+AA48+AA79+AA80+AA81+AA88+AA89+AA92+AA93+AA123+AA125+AA126+AA133</f>
        <v>3265</v>
      </c>
      <c r="AC148" s="501">
        <f>AC40+AC48+AC79+AC80+AC81+AC88+AC89+AC92+AC93+AC123+AC125+AC126+AC133</f>
        <v>4961.6000000000004</v>
      </c>
      <c r="AD148" s="248"/>
      <c r="AE148" s="248"/>
      <c r="AF148" s="350"/>
      <c r="AG148" s="242">
        <f t="shared" si="64"/>
        <v>0</v>
      </c>
    </row>
    <row r="149" spans="1:50" s="5" customFormat="1" ht="20.100000000000001" customHeight="1">
      <c r="A149" s="584" t="s">
        <v>45</v>
      </c>
      <c r="B149" s="149">
        <v>1310</v>
      </c>
      <c r="C149" s="148">
        <f t="shared" ref="C149:J149" si="74">C142+C145+C146+C147+C148</f>
        <v>24126.799999999999</v>
      </c>
      <c r="D149" s="148">
        <f t="shared" si="74"/>
        <v>39090.899999999994</v>
      </c>
      <c r="E149" s="148">
        <f t="shared" si="74"/>
        <v>34636.6</v>
      </c>
      <c r="F149" s="148">
        <f>F142+F145+F146+F147+F148</f>
        <v>35304.400000000001</v>
      </c>
      <c r="G149" s="148">
        <f t="shared" si="74"/>
        <v>9841.9999999999982</v>
      </c>
      <c r="H149" s="148">
        <f t="shared" si="74"/>
        <v>8353.0999999999985</v>
      </c>
      <c r="I149" s="148">
        <f t="shared" si="74"/>
        <v>8379.1</v>
      </c>
      <c r="J149" s="148">
        <f t="shared" si="74"/>
        <v>8730.2000000000007</v>
      </c>
      <c r="K149" s="619"/>
      <c r="L149" s="614">
        <v>1310</v>
      </c>
      <c r="M149" s="244">
        <f>SUM(M143:M148)</f>
        <v>8773.5</v>
      </c>
      <c r="N149" s="454">
        <f>SUM(N143:N148)</f>
        <v>7700.9</v>
      </c>
      <c r="O149" s="248"/>
      <c r="P149" s="453">
        <f t="shared" si="55"/>
        <v>8193.3000000000011</v>
      </c>
      <c r="R149" s="149">
        <v>1310</v>
      </c>
      <c r="S149" s="244">
        <f>SUM(S143:S148)</f>
        <v>18460.800000000003</v>
      </c>
      <c r="T149" s="244">
        <f>SUM(T143:T148)</f>
        <v>15894.2</v>
      </c>
      <c r="U149" s="248"/>
      <c r="V149" s="139">
        <f t="shared" si="63"/>
        <v>7729.1000000000022</v>
      </c>
      <c r="X149" s="149">
        <v>1310</v>
      </c>
      <c r="Y149" s="244">
        <f>SUM(Y143:Y148)</f>
        <v>28543.199999999997</v>
      </c>
      <c r="Z149" s="536"/>
      <c r="AA149" s="507">
        <f>SUM(AA143:AA148)</f>
        <v>23623.300000000003</v>
      </c>
      <c r="AB149" s="515"/>
      <c r="AC149" s="501">
        <f>SUM(AC143:AC148)</f>
        <v>35029.978172124189</v>
      </c>
      <c r="AD149" s="248"/>
      <c r="AE149" s="248"/>
      <c r="AG149" s="242">
        <f t="shared" si="64"/>
        <v>393.37817212419031</v>
      </c>
      <c r="AN149" s="234"/>
      <c r="AX149" s="310"/>
    </row>
    <row r="150" spans="1:50" s="5" customFormat="1" ht="20.100000000000001" customHeight="1">
      <c r="A150" s="43"/>
      <c r="B150" s="624"/>
      <c r="C150" s="625"/>
      <c r="D150" s="625"/>
      <c r="E150" s="625"/>
      <c r="F150" s="625"/>
      <c r="G150" s="625"/>
      <c r="H150" s="625"/>
      <c r="I150" s="625"/>
      <c r="J150" s="625"/>
      <c r="K150" s="619"/>
      <c r="L150" s="624"/>
      <c r="M150" s="248"/>
      <c r="N150" s="626"/>
      <c r="O150" s="248"/>
      <c r="P150" s="627"/>
      <c r="R150" s="624"/>
      <c r="S150" s="248"/>
      <c r="T150" s="248"/>
      <c r="U150" s="248"/>
      <c r="V150" s="628"/>
      <c r="X150" s="624"/>
      <c r="Y150" s="248"/>
      <c r="Z150" s="248"/>
      <c r="AA150" s="629"/>
      <c r="AB150" s="530"/>
      <c r="AC150" s="630"/>
      <c r="AD150" s="248"/>
      <c r="AE150" s="248"/>
      <c r="AG150" s="242"/>
      <c r="AN150" s="234"/>
      <c r="AX150" s="310"/>
    </row>
    <row r="151" spans="1:50" s="5" customFormat="1" ht="20.100000000000001" hidden="1" customHeight="1">
      <c r="A151" s="631" t="s">
        <v>491</v>
      </c>
      <c r="B151" s="151"/>
      <c r="C151" s="349">
        <v>3525.9</v>
      </c>
      <c r="D151" s="152"/>
      <c r="E151" s="152"/>
      <c r="F151" s="152"/>
      <c r="G151" s="153"/>
      <c r="H151" s="153"/>
      <c r="I151" s="153"/>
      <c r="J151" s="153"/>
      <c r="K151" s="598"/>
      <c r="O151" s="112"/>
      <c r="V151" s="112"/>
      <c r="AA151" s="499"/>
      <c r="AB151" s="530"/>
      <c r="AC151" s="531"/>
      <c r="AD151" s="112"/>
      <c r="AE151" s="112"/>
      <c r="AN151" s="234"/>
      <c r="AX151" s="310"/>
    </row>
    <row r="152" spans="1:50" s="5" customFormat="1" ht="20.25" hidden="1" customHeight="1">
      <c r="A152" s="390"/>
      <c r="B152" s="622"/>
      <c r="C152" s="349"/>
      <c r="D152" s="349"/>
      <c r="E152" s="349"/>
      <c r="F152" s="349"/>
      <c r="G152" s="349"/>
      <c r="H152" s="349"/>
      <c r="I152" s="349"/>
      <c r="J152" s="349"/>
      <c r="K152" s="599"/>
      <c r="O152" s="112"/>
      <c r="V152" s="112"/>
      <c r="AA152" s="112"/>
      <c r="AB152" s="112"/>
      <c r="AC152" s="112"/>
      <c r="AD152" s="112"/>
      <c r="AE152" s="112"/>
      <c r="AF152" s="112"/>
      <c r="AG152" s="112"/>
      <c r="AH152" s="112"/>
      <c r="AN152" s="234"/>
      <c r="AX152" s="310"/>
    </row>
    <row r="153" spans="1:50" s="5" customFormat="1" ht="22.5" hidden="1" customHeight="1">
      <c r="A153" s="390" t="s">
        <v>490</v>
      </c>
      <c r="B153" s="622"/>
      <c r="C153" s="349">
        <f>C137-C151</f>
        <v>-169.60000000000082</v>
      </c>
      <c r="D153" s="349"/>
      <c r="E153" s="349"/>
      <c r="F153" s="349"/>
      <c r="G153" s="152"/>
      <c r="H153" s="152"/>
      <c r="I153" s="152"/>
      <c r="J153" s="152"/>
      <c r="K153" s="599"/>
      <c r="O153" s="112"/>
      <c r="V153" s="112"/>
      <c r="AA153" s="112"/>
      <c r="AB153" s="112"/>
      <c r="AC153" s="112"/>
      <c r="AD153" s="112"/>
      <c r="AE153" s="112"/>
      <c r="AF153" s="112"/>
      <c r="AG153" s="112"/>
      <c r="AH153" s="112"/>
      <c r="AN153" s="234"/>
      <c r="AX153" s="310"/>
    </row>
    <row r="154" spans="1:50" s="5" customFormat="1" ht="15.75" hidden="1" customHeight="1">
      <c r="A154" s="623"/>
      <c r="B154" s="622"/>
      <c r="C154" s="349"/>
      <c r="D154" s="349"/>
      <c r="E154" s="152"/>
      <c r="F154" s="152"/>
      <c r="G154" s="152"/>
      <c r="H154" s="152"/>
      <c r="I154" s="152"/>
      <c r="J154" s="152"/>
      <c r="K154" s="599"/>
      <c r="O154" s="112"/>
      <c r="V154" s="112"/>
      <c r="AA154" s="112"/>
      <c r="AB154" s="112"/>
      <c r="AC154" s="112"/>
      <c r="AD154" s="112"/>
      <c r="AE154" s="112"/>
      <c r="AF154" s="112"/>
      <c r="AG154" s="112"/>
      <c r="AH154" s="112"/>
      <c r="AN154" s="234"/>
      <c r="AX154" s="310"/>
    </row>
    <row r="155" spans="1:50" s="5" customFormat="1" ht="15.75" hidden="1" customHeight="1">
      <c r="A155" s="623"/>
      <c r="B155" s="622"/>
      <c r="C155" s="349"/>
      <c r="D155" s="349"/>
      <c r="E155" s="152"/>
      <c r="F155" s="152"/>
      <c r="G155" s="152"/>
      <c r="H155" s="152"/>
      <c r="I155" s="152"/>
      <c r="J155" s="152"/>
      <c r="K155" s="599"/>
      <c r="O155" s="112"/>
      <c r="V155" s="112"/>
      <c r="AA155" s="112"/>
      <c r="AB155" s="112"/>
      <c r="AC155" s="112"/>
      <c r="AD155" s="112"/>
      <c r="AE155" s="112"/>
      <c r="AF155" s="112"/>
      <c r="AG155" s="112"/>
      <c r="AH155" s="112"/>
      <c r="AN155" s="234"/>
      <c r="AX155" s="310"/>
    </row>
    <row r="156" spans="1:50">
      <c r="AA156" s="578"/>
      <c r="AB156" s="272"/>
      <c r="AC156" s="579"/>
      <c r="AD156" s="272"/>
      <c r="AE156" s="272"/>
      <c r="AF156" s="114"/>
      <c r="AG156" s="114"/>
      <c r="AH156" s="114"/>
    </row>
    <row r="157" spans="1:50" s="270" customFormat="1" ht="15.75" customHeight="1">
      <c r="A157" s="266"/>
      <c r="B157" s="267"/>
      <c r="C157" s="268"/>
      <c r="D157" s="268"/>
      <c r="E157" s="268"/>
      <c r="F157" s="268"/>
      <c r="G157" s="268"/>
      <c r="H157" s="268"/>
      <c r="I157" s="268"/>
      <c r="J157" s="268"/>
      <c r="K157" s="600"/>
      <c r="O157" s="269"/>
      <c r="V157" s="269"/>
      <c r="AA157" s="578"/>
      <c r="AB157" s="269"/>
      <c r="AC157" s="580"/>
      <c r="AD157" s="269"/>
      <c r="AE157" s="269"/>
      <c r="AF157" s="269"/>
      <c r="AG157" s="269"/>
      <c r="AH157" s="269"/>
      <c r="AN157" s="395"/>
      <c r="AX157" s="451"/>
    </row>
    <row r="158" spans="1:50" s="270" customFormat="1" ht="18" customHeight="1">
      <c r="A158" s="266"/>
      <c r="B158" s="267"/>
      <c r="C158" s="268"/>
      <c r="D158" s="268"/>
      <c r="E158" s="268"/>
      <c r="F158" s="268"/>
      <c r="G158" s="268"/>
      <c r="H158" s="268"/>
      <c r="I158" s="717" t="s">
        <v>332</v>
      </c>
      <c r="J158" s="717"/>
      <c r="K158" s="601"/>
      <c r="O158" s="269"/>
      <c r="V158" s="269"/>
      <c r="AA158" s="269"/>
      <c r="AB158" s="269"/>
      <c r="AC158" s="269"/>
      <c r="AD158" s="269"/>
      <c r="AE158" s="269"/>
      <c r="AF158" s="269"/>
      <c r="AG158" s="269"/>
      <c r="AH158" s="269"/>
      <c r="AN158" s="395"/>
      <c r="AX158" s="451"/>
    </row>
    <row r="159" spans="1:50" s="273" customFormat="1" ht="20.100000000000001" customHeight="1">
      <c r="A159" s="365" t="s">
        <v>451</v>
      </c>
      <c r="B159" s="271"/>
      <c r="C159" s="715" t="s">
        <v>189</v>
      </c>
      <c r="D159" s="715"/>
      <c r="E159" s="715"/>
      <c r="F159" s="715"/>
      <c r="G159" s="563"/>
      <c r="H159" s="716" t="s">
        <v>338</v>
      </c>
      <c r="I159" s="716"/>
      <c r="J159" s="716"/>
      <c r="K159" s="602"/>
      <c r="N159" s="404"/>
      <c r="O159" s="272"/>
      <c r="P159" s="404"/>
      <c r="Q159" s="404"/>
      <c r="R159" s="404"/>
      <c r="S159" s="404"/>
      <c r="T159" s="404"/>
      <c r="U159" s="404"/>
      <c r="V159" s="272"/>
      <c r="Z159" s="482"/>
      <c r="AA159" s="272"/>
      <c r="AB159" s="272"/>
      <c r="AC159" s="272"/>
      <c r="AD159" s="272"/>
      <c r="AE159" s="272"/>
      <c r="AF159" s="272"/>
      <c r="AG159" s="272"/>
      <c r="AH159" s="272"/>
      <c r="AN159" s="396"/>
      <c r="AX159" s="452"/>
    </row>
    <row r="160" spans="1:50" s="2" customFormat="1" ht="20.100000000000001" customHeight="1">
      <c r="A160" s="363" t="s">
        <v>452</v>
      </c>
      <c r="B160" s="3"/>
      <c r="C160" s="695" t="s">
        <v>231</v>
      </c>
      <c r="D160" s="695"/>
      <c r="E160" s="695"/>
      <c r="F160" s="695"/>
      <c r="G160" s="548"/>
      <c r="H160" s="710" t="s">
        <v>88</v>
      </c>
      <c r="I160" s="710"/>
      <c r="J160" s="710"/>
      <c r="K160" s="592"/>
      <c r="O160" s="115"/>
      <c r="V160" s="115"/>
      <c r="AA160" s="445"/>
      <c r="AB160" s="445"/>
      <c r="AC160" s="445"/>
      <c r="AD160" s="445"/>
      <c r="AE160" s="445"/>
      <c r="AF160" s="114"/>
      <c r="AG160" s="114"/>
      <c r="AH160" s="114"/>
      <c r="AN160" s="125"/>
      <c r="AX160" s="241"/>
    </row>
    <row r="161" spans="1:34">
      <c r="A161" s="154"/>
      <c r="C161" s="546"/>
      <c r="D161" s="546"/>
      <c r="E161" s="546"/>
      <c r="F161" s="546"/>
      <c r="G161" s="546"/>
      <c r="H161" s="546"/>
      <c r="I161" s="546"/>
      <c r="J161" s="546"/>
      <c r="K161" s="577"/>
      <c r="AA161" s="248"/>
      <c r="AB161" s="248"/>
      <c r="AC161" s="248"/>
      <c r="AD161" s="248"/>
      <c r="AE161" s="248"/>
      <c r="AF161" s="114"/>
      <c r="AG161" s="114"/>
      <c r="AH161" s="114"/>
    </row>
    <row r="162" spans="1:34">
      <c r="A162" s="154"/>
      <c r="C162" s="546"/>
      <c r="D162" s="546"/>
      <c r="E162" s="546"/>
      <c r="F162" s="546"/>
      <c r="G162" s="546"/>
      <c r="H162" s="546"/>
      <c r="I162" s="546"/>
      <c r="J162" s="546"/>
      <c r="K162" s="577"/>
      <c r="AA162" s="114"/>
      <c r="AB162" s="114"/>
      <c r="AC162" s="114"/>
      <c r="AF162" s="114"/>
      <c r="AG162" s="114"/>
      <c r="AH162" s="114"/>
    </row>
    <row r="163" spans="1:34">
      <c r="A163" s="154"/>
      <c r="C163" s="546"/>
      <c r="D163" s="546"/>
      <c r="E163" s="546"/>
      <c r="F163" s="546"/>
      <c r="G163" s="546"/>
      <c r="H163" s="546"/>
      <c r="I163" s="546"/>
      <c r="J163" s="546"/>
      <c r="K163" s="577"/>
      <c r="AA163" s="248"/>
      <c r="AB163" s="248"/>
      <c r="AC163" s="248"/>
      <c r="AD163" s="248"/>
      <c r="AE163" s="248"/>
      <c r="AF163" s="114"/>
      <c r="AG163" s="114"/>
      <c r="AH163" s="114"/>
    </row>
    <row r="164" spans="1:34">
      <c r="A164" s="154"/>
      <c r="C164" s="546"/>
      <c r="D164" s="546"/>
      <c r="E164" s="546"/>
      <c r="F164" s="546"/>
      <c r="G164" s="546"/>
      <c r="H164" s="546"/>
      <c r="I164" s="546"/>
      <c r="J164" s="546"/>
      <c r="K164" s="577"/>
      <c r="AA164" s="114"/>
      <c r="AB164" s="114"/>
      <c r="AC164" s="114"/>
      <c r="AF164" s="114"/>
      <c r="AG164" s="114"/>
      <c r="AH164" s="114"/>
    </row>
    <row r="165" spans="1:34">
      <c r="A165" s="154"/>
      <c r="C165" s="546"/>
      <c r="D165" s="546"/>
      <c r="E165" s="546"/>
      <c r="F165" s="546"/>
      <c r="G165" s="546"/>
      <c r="H165" s="546"/>
      <c r="I165" s="546"/>
      <c r="J165" s="546"/>
      <c r="K165" s="577"/>
      <c r="AA165" s="114"/>
      <c r="AB165" s="114"/>
      <c r="AC165" s="114"/>
      <c r="AF165" s="114"/>
      <c r="AG165" s="114"/>
      <c r="AH165" s="114"/>
    </row>
    <row r="166" spans="1:34">
      <c r="A166" s="154"/>
      <c r="C166" s="546"/>
      <c r="D166" s="546"/>
      <c r="E166" s="546"/>
      <c r="F166" s="546"/>
      <c r="G166" s="546"/>
      <c r="H166" s="546"/>
      <c r="I166" s="546"/>
      <c r="J166" s="546"/>
      <c r="K166" s="577"/>
      <c r="AA166" s="573"/>
      <c r="AB166" s="442"/>
      <c r="AC166" s="442"/>
      <c r="AD166" s="442"/>
      <c r="AE166" s="442"/>
      <c r="AF166" s="114"/>
      <c r="AG166" s="114"/>
      <c r="AH166" s="114"/>
    </row>
    <row r="167" spans="1:34">
      <c r="A167" s="154"/>
      <c r="C167" s="546"/>
      <c r="D167" s="546"/>
      <c r="E167" s="546"/>
      <c r="F167" s="546"/>
      <c r="G167" s="546"/>
      <c r="H167" s="546"/>
      <c r="I167" s="546"/>
      <c r="J167" s="546"/>
      <c r="K167" s="577"/>
      <c r="AA167" s="114"/>
      <c r="AB167" s="442"/>
      <c r="AC167" s="442"/>
      <c r="AD167" s="442"/>
      <c r="AE167" s="442"/>
      <c r="AF167" s="114"/>
      <c r="AG167" s="114"/>
      <c r="AH167" s="114"/>
    </row>
    <row r="168" spans="1:34">
      <c r="A168" s="154"/>
      <c r="C168" s="546"/>
      <c r="D168" s="546"/>
      <c r="E168" s="546"/>
      <c r="F168" s="546"/>
      <c r="G168" s="546"/>
      <c r="H168" s="546"/>
      <c r="I168" s="546"/>
      <c r="J168" s="546"/>
      <c r="K168" s="577"/>
      <c r="AA168" s="114"/>
      <c r="AB168" s="114"/>
      <c r="AC168" s="114"/>
      <c r="AF168" s="114"/>
      <c r="AG168" s="114"/>
      <c r="AH168" s="114"/>
    </row>
    <row r="169" spans="1:34">
      <c r="A169" s="154"/>
      <c r="C169" s="546"/>
      <c r="D169" s="546"/>
      <c r="E169" s="546"/>
      <c r="F169" s="546"/>
      <c r="G169" s="546"/>
      <c r="H169" s="546"/>
      <c r="I169" s="546"/>
      <c r="J169" s="546"/>
      <c r="K169" s="577"/>
      <c r="AA169" s="114"/>
      <c r="AB169" s="114"/>
      <c r="AC169" s="114"/>
      <c r="AF169" s="114"/>
      <c r="AG169" s="114"/>
      <c r="AH169" s="114"/>
    </row>
    <row r="170" spans="1:34">
      <c r="A170" s="154"/>
      <c r="C170" s="546"/>
      <c r="D170" s="546"/>
      <c r="E170" s="546"/>
      <c r="F170" s="546"/>
      <c r="G170" s="546"/>
      <c r="H170" s="546"/>
      <c r="I170" s="546"/>
      <c r="J170" s="546"/>
      <c r="K170" s="577"/>
      <c r="AA170" s="114"/>
      <c r="AB170" s="114"/>
      <c r="AC170" s="114"/>
      <c r="AF170" s="114"/>
      <c r="AG170" s="114"/>
      <c r="AH170" s="114"/>
    </row>
    <row r="171" spans="1:34">
      <c r="A171" s="154"/>
      <c r="C171" s="546"/>
      <c r="D171" s="546"/>
      <c r="E171" s="546"/>
      <c r="F171" s="546"/>
      <c r="G171" s="546"/>
      <c r="H171" s="546"/>
      <c r="I171" s="546"/>
      <c r="J171" s="546"/>
      <c r="K171" s="577"/>
      <c r="AA171" s="114"/>
      <c r="AB171" s="114"/>
      <c r="AC171" s="114"/>
      <c r="AF171" s="114"/>
      <c r="AG171" s="114"/>
      <c r="AH171" s="114"/>
    </row>
    <row r="172" spans="1:34">
      <c r="A172" s="154"/>
      <c r="C172" s="546"/>
      <c r="D172" s="546"/>
      <c r="E172" s="546"/>
      <c r="F172" s="546"/>
      <c r="G172" s="546"/>
      <c r="H172" s="546"/>
      <c r="I172" s="546"/>
      <c r="J172" s="546"/>
      <c r="K172" s="577"/>
      <c r="AA172" s="114"/>
      <c r="AB172" s="114"/>
      <c r="AC172" s="114"/>
      <c r="AF172" s="114"/>
      <c r="AG172" s="114"/>
      <c r="AH172" s="114"/>
    </row>
    <row r="173" spans="1:34">
      <c r="A173" s="154"/>
      <c r="C173" s="546"/>
      <c r="D173" s="546"/>
      <c r="E173" s="546"/>
      <c r="F173" s="546"/>
      <c r="G173" s="546"/>
      <c r="H173" s="546"/>
      <c r="I173" s="546"/>
      <c r="J173" s="546"/>
      <c r="K173" s="577"/>
      <c r="AA173" s="114"/>
      <c r="AB173" s="114"/>
      <c r="AC173" s="114"/>
      <c r="AF173" s="114"/>
      <c r="AG173" s="114"/>
      <c r="AH173" s="114"/>
    </row>
    <row r="174" spans="1:34">
      <c r="A174" s="154"/>
      <c r="C174" s="546"/>
      <c r="D174" s="546"/>
      <c r="E174" s="546"/>
      <c r="F174" s="546"/>
      <c r="G174" s="546"/>
      <c r="H174" s="546"/>
      <c r="I174" s="546"/>
      <c r="J174" s="546"/>
      <c r="K174" s="577"/>
      <c r="AA174" s="114"/>
      <c r="AB174" s="114"/>
      <c r="AC174" s="114"/>
      <c r="AF174" s="114"/>
      <c r="AG174" s="114"/>
      <c r="AH174" s="114"/>
    </row>
    <row r="175" spans="1:34">
      <c r="A175" s="154"/>
      <c r="C175" s="546"/>
      <c r="D175" s="546"/>
      <c r="E175" s="546"/>
      <c r="F175" s="546"/>
      <c r="G175" s="546"/>
      <c r="H175" s="546"/>
      <c r="I175" s="546"/>
      <c r="J175" s="546"/>
      <c r="K175" s="577"/>
      <c r="AA175" s="114"/>
      <c r="AB175" s="114"/>
      <c r="AC175" s="114"/>
      <c r="AF175" s="114"/>
      <c r="AG175" s="114"/>
      <c r="AH175" s="114"/>
    </row>
    <row r="176" spans="1:34">
      <c r="A176" s="154"/>
      <c r="C176" s="546"/>
      <c r="D176" s="546"/>
      <c r="E176" s="546"/>
      <c r="F176" s="546"/>
      <c r="G176" s="546"/>
      <c r="H176" s="546"/>
      <c r="I176" s="546"/>
      <c r="J176" s="546"/>
      <c r="K176" s="577"/>
      <c r="AA176" s="114"/>
      <c r="AB176" s="114"/>
      <c r="AC176" s="114"/>
      <c r="AF176" s="114"/>
      <c r="AG176" s="114"/>
      <c r="AH176" s="114"/>
    </row>
    <row r="177" spans="1:34">
      <c r="A177" s="154"/>
      <c r="C177" s="546"/>
      <c r="D177" s="546"/>
      <c r="E177" s="546"/>
      <c r="F177" s="546"/>
      <c r="G177" s="546"/>
      <c r="H177" s="546"/>
      <c r="I177" s="546"/>
      <c r="J177" s="546"/>
      <c r="K177" s="577"/>
      <c r="AA177" s="114"/>
      <c r="AB177" s="114"/>
      <c r="AC177" s="114"/>
      <c r="AF177" s="114"/>
      <c r="AG177" s="114"/>
      <c r="AH177" s="114"/>
    </row>
    <row r="178" spans="1:34">
      <c r="A178" s="154"/>
      <c r="C178" s="546"/>
      <c r="D178" s="546"/>
      <c r="E178" s="546"/>
      <c r="F178" s="546"/>
      <c r="G178" s="546"/>
      <c r="H178" s="546"/>
      <c r="I178" s="546"/>
      <c r="J178" s="546"/>
      <c r="K178" s="577"/>
      <c r="AA178" s="114"/>
      <c r="AB178" s="114"/>
      <c r="AC178" s="114"/>
      <c r="AF178" s="114"/>
      <c r="AG178" s="114"/>
      <c r="AH178" s="114"/>
    </row>
    <row r="179" spans="1:34">
      <c r="A179" s="154"/>
      <c r="C179" s="546"/>
      <c r="D179" s="546"/>
      <c r="E179" s="546"/>
      <c r="F179" s="546"/>
      <c r="G179" s="546"/>
      <c r="H179" s="546"/>
      <c r="I179" s="546"/>
      <c r="J179" s="546"/>
      <c r="K179" s="577"/>
      <c r="AA179" s="114"/>
      <c r="AB179" s="114"/>
      <c r="AC179" s="114"/>
      <c r="AF179" s="114"/>
      <c r="AG179" s="114"/>
      <c r="AH179" s="114"/>
    </row>
    <row r="180" spans="1:34">
      <c r="A180" s="154"/>
      <c r="C180" s="546"/>
      <c r="D180" s="546"/>
      <c r="E180" s="546"/>
      <c r="F180" s="546"/>
      <c r="G180" s="546"/>
      <c r="H180" s="546"/>
      <c r="I180" s="546"/>
      <c r="J180" s="546"/>
      <c r="K180" s="577"/>
      <c r="AA180" s="114"/>
      <c r="AB180" s="114"/>
      <c r="AC180" s="114"/>
      <c r="AF180" s="114"/>
      <c r="AG180" s="114"/>
      <c r="AH180" s="114"/>
    </row>
    <row r="181" spans="1:34">
      <c r="A181" s="154"/>
      <c r="C181" s="546"/>
      <c r="D181" s="546"/>
      <c r="E181" s="546"/>
      <c r="F181" s="546"/>
      <c r="G181" s="546"/>
      <c r="H181" s="546"/>
      <c r="I181" s="546"/>
      <c r="J181" s="546"/>
      <c r="K181" s="577"/>
      <c r="AA181" s="114"/>
      <c r="AB181" s="114"/>
      <c r="AC181" s="114"/>
      <c r="AF181" s="114"/>
      <c r="AG181" s="114"/>
      <c r="AH181" s="114"/>
    </row>
    <row r="182" spans="1:34">
      <c r="A182" s="154"/>
      <c r="C182" s="546"/>
      <c r="D182" s="546"/>
      <c r="E182" s="546"/>
      <c r="F182" s="546"/>
      <c r="G182" s="546"/>
      <c r="H182" s="546"/>
      <c r="I182" s="546"/>
      <c r="J182" s="546"/>
      <c r="K182" s="577"/>
      <c r="AA182" s="114"/>
      <c r="AB182" s="114"/>
      <c r="AC182" s="114"/>
      <c r="AF182" s="114"/>
      <c r="AG182" s="114"/>
      <c r="AH182" s="114"/>
    </row>
    <row r="183" spans="1:34">
      <c r="A183" s="154"/>
      <c r="C183" s="546"/>
      <c r="D183" s="546"/>
      <c r="E183" s="546"/>
      <c r="F183" s="546"/>
      <c r="G183" s="546"/>
      <c r="H183" s="546"/>
      <c r="I183" s="546"/>
      <c r="J183" s="546"/>
      <c r="K183" s="577"/>
      <c r="AA183" s="114"/>
      <c r="AB183" s="114"/>
      <c r="AC183" s="114"/>
      <c r="AF183" s="114"/>
      <c r="AG183" s="114"/>
      <c r="AH183" s="114"/>
    </row>
    <row r="184" spans="1:34">
      <c r="A184" s="154"/>
      <c r="C184" s="546"/>
      <c r="D184" s="546"/>
      <c r="E184" s="546"/>
      <c r="F184" s="546"/>
      <c r="G184" s="546"/>
      <c r="H184" s="546"/>
      <c r="I184" s="546"/>
      <c r="J184" s="546"/>
      <c r="K184" s="577"/>
      <c r="AA184" s="114"/>
      <c r="AB184" s="114"/>
      <c r="AC184" s="114"/>
      <c r="AF184" s="114"/>
      <c r="AG184" s="114"/>
      <c r="AH184" s="114"/>
    </row>
    <row r="185" spans="1:34">
      <c r="A185" s="154"/>
      <c r="C185" s="546"/>
      <c r="D185" s="546"/>
      <c r="E185" s="546"/>
      <c r="F185" s="546"/>
      <c r="G185" s="546"/>
      <c r="H185" s="546"/>
      <c r="I185" s="546"/>
      <c r="J185" s="546"/>
      <c r="K185" s="577"/>
      <c r="AA185" s="114"/>
      <c r="AB185" s="114"/>
      <c r="AC185" s="114"/>
      <c r="AF185" s="114"/>
      <c r="AG185" s="114"/>
      <c r="AH185" s="114"/>
    </row>
    <row r="186" spans="1:34">
      <c r="A186" s="154"/>
      <c r="C186" s="546"/>
      <c r="D186" s="546"/>
      <c r="E186" s="546"/>
      <c r="F186" s="546"/>
      <c r="G186" s="546"/>
      <c r="H186" s="546"/>
      <c r="I186" s="546"/>
      <c r="J186" s="546"/>
      <c r="K186" s="577"/>
      <c r="AA186" s="114"/>
      <c r="AB186" s="114"/>
      <c r="AC186" s="114"/>
      <c r="AF186" s="114"/>
      <c r="AG186" s="114"/>
      <c r="AH186" s="114"/>
    </row>
    <row r="187" spans="1:34">
      <c r="A187" s="154"/>
      <c r="C187" s="546"/>
      <c r="D187" s="546"/>
      <c r="E187" s="546"/>
      <c r="F187" s="546"/>
      <c r="G187" s="546"/>
      <c r="H187" s="546"/>
      <c r="I187" s="546"/>
      <c r="J187" s="546"/>
      <c r="K187" s="577"/>
      <c r="AA187" s="114"/>
      <c r="AB187" s="114"/>
      <c r="AC187" s="114"/>
      <c r="AF187" s="114"/>
      <c r="AG187" s="114"/>
      <c r="AH187" s="114"/>
    </row>
    <row r="188" spans="1:34">
      <c r="A188" s="154"/>
      <c r="C188" s="546"/>
      <c r="D188" s="546"/>
      <c r="E188" s="546"/>
      <c r="F188" s="546"/>
      <c r="G188" s="546"/>
      <c r="H188" s="546"/>
      <c r="I188" s="546"/>
      <c r="J188" s="546"/>
      <c r="K188" s="577"/>
      <c r="AA188" s="114"/>
      <c r="AB188" s="114"/>
      <c r="AC188" s="114"/>
      <c r="AF188" s="114"/>
      <c r="AG188" s="114"/>
      <c r="AH188" s="114"/>
    </row>
    <row r="189" spans="1:34">
      <c r="A189" s="154"/>
      <c r="C189" s="546"/>
      <c r="D189" s="546"/>
      <c r="E189" s="546"/>
      <c r="F189" s="546"/>
      <c r="G189" s="546"/>
      <c r="H189" s="546"/>
      <c r="I189" s="546"/>
      <c r="J189" s="546"/>
      <c r="K189" s="577"/>
      <c r="AA189" s="114"/>
      <c r="AB189" s="114"/>
      <c r="AC189" s="114"/>
      <c r="AF189" s="114"/>
      <c r="AG189" s="114"/>
      <c r="AH189" s="114"/>
    </row>
    <row r="190" spans="1:34">
      <c r="A190" s="154"/>
      <c r="C190" s="546"/>
      <c r="D190" s="546"/>
      <c r="E190" s="546"/>
      <c r="F190" s="546"/>
      <c r="G190" s="546"/>
      <c r="H190" s="546"/>
      <c r="I190" s="546"/>
      <c r="J190" s="546"/>
      <c r="K190" s="577"/>
      <c r="AA190" s="114"/>
      <c r="AB190" s="114"/>
      <c r="AC190" s="114"/>
      <c r="AF190" s="114"/>
      <c r="AG190" s="114"/>
      <c r="AH190" s="114"/>
    </row>
    <row r="191" spans="1:34">
      <c r="A191" s="154"/>
      <c r="C191" s="546"/>
      <c r="D191" s="546"/>
      <c r="E191" s="546"/>
      <c r="F191" s="546"/>
      <c r="G191" s="546"/>
      <c r="H191" s="546"/>
      <c r="I191" s="546"/>
      <c r="J191" s="546"/>
      <c r="K191" s="577"/>
      <c r="AA191" s="114"/>
      <c r="AB191" s="114"/>
      <c r="AC191" s="114"/>
      <c r="AF191" s="114"/>
      <c r="AG191" s="114"/>
      <c r="AH191" s="114"/>
    </row>
    <row r="192" spans="1:34">
      <c r="A192" s="154"/>
      <c r="C192" s="546"/>
      <c r="D192" s="546"/>
      <c r="E192" s="546"/>
      <c r="F192" s="546"/>
      <c r="G192" s="546"/>
      <c r="H192" s="546"/>
      <c r="I192" s="546"/>
      <c r="J192" s="546"/>
      <c r="K192" s="577"/>
      <c r="AA192" s="114"/>
      <c r="AB192" s="114"/>
      <c r="AC192" s="114"/>
      <c r="AF192" s="114"/>
      <c r="AG192" s="114"/>
      <c r="AH192" s="114"/>
    </row>
    <row r="193" spans="1:34">
      <c r="A193" s="154"/>
      <c r="C193" s="546"/>
      <c r="D193" s="546"/>
      <c r="E193" s="546"/>
      <c r="F193" s="546"/>
      <c r="G193" s="546"/>
      <c r="H193" s="546"/>
      <c r="I193" s="546"/>
      <c r="J193" s="546"/>
      <c r="K193" s="577"/>
      <c r="AA193" s="114"/>
      <c r="AB193" s="114"/>
      <c r="AC193" s="114"/>
      <c r="AF193" s="114"/>
      <c r="AG193" s="114"/>
      <c r="AH193" s="114"/>
    </row>
    <row r="194" spans="1:34">
      <c r="A194" s="154"/>
      <c r="C194" s="546"/>
      <c r="D194" s="546"/>
      <c r="E194" s="546"/>
      <c r="F194" s="546"/>
      <c r="G194" s="546"/>
      <c r="H194" s="546"/>
      <c r="I194" s="546"/>
      <c r="J194" s="546"/>
      <c r="K194" s="577"/>
      <c r="AA194" s="114"/>
      <c r="AB194" s="114"/>
      <c r="AC194" s="114"/>
      <c r="AF194" s="114"/>
      <c r="AG194" s="114"/>
      <c r="AH194" s="114"/>
    </row>
    <row r="195" spans="1:34">
      <c r="A195" s="154"/>
      <c r="C195" s="546"/>
      <c r="D195" s="546"/>
      <c r="E195" s="546"/>
      <c r="F195" s="546"/>
      <c r="G195" s="546"/>
      <c r="H195" s="546"/>
      <c r="I195" s="546"/>
      <c r="J195" s="546"/>
      <c r="K195" s="577"/>
      <c r="AA195" s="114"/>
      <c r="AB195" s="114"/>
      <c r="AC195" s="114"/>
      <c r="AF195" s="114"/>
      <c r="AG195" s="114"/>
      <c r="AH195" s="114"/>
    </row>
    <row r="196" spans="1:34">
      <c r="A196" s="154"/>
      <c r="C196" s="546"/>
      <c r="D196" s="546"/>
      <c r="E196" s="546"/>
      <c r="F196" s="546"/>
      <c r="G196" s="546"/>
      <c r="H196" s="546"/>
      <c r="I196" s="546"/>
      <c r="J196" s="546"/>
      <c r="K196" s="577"/>
      <c r="AA196" s="114"/>
      <c r="AB196" s="114"/>
      <c r="AC196" s="114"/>
      <c r="AF196" s="114"/>
      <c r="AG196" s="114"/>
      <c r="AH196" s="114"/>
    </row>
    <row r="197" spans="1:34">
      <c r="A197" s="154"/>
      <c r="C197" s="546"/>
      <c r="D197" s="546"/>
      <c r="E197" s="546"/>
      <c r="F197" s="546"/>
      <c r="G197" s="546"/>
      <c r="H197" s="546"/>
      <c r="I197" s="546"/>
      <c r="J197" s="546"/>
      <c r="K197" s="577"/>
      <c r="AA197" s="114"/>
      <c r="AB197" s="114"/>
      <c r="AC197" s="114"/>
      <c r="AF197" s="114"/>
      <c r="AG197" s="114"/>
      <c r="AH197" s="114"/>
    </row>
    <row r="198" spans="1:34">
      <c r="A198" s="154"/>
      <c r="C198" s="546"/>
      <c r="D198" s="546"/>
      <c r="E198" s="546"/>
      <c r="F198" s="546"/>
      <c r="G198" s="546"/>
      <c r="H198" s="546"/>
      <c r="I198" s="546"/>
      <c r="J198" s="546"/>
      <c r="K198" s="577"/>
      <c r="AA198" s="114"/>
      <c r="AB198" s="114"/>
      <c r="AC198" s="114"/>
      <c r="AF198" s="114"/>
      <c r="AG198" s="114"/>
      <c r="AH198" s="114"/>
    </row>
    <row r="199" spans="1:34">
      <c r="A199" s="154"/>
      <c r="C199" s="546"/>
      <c r="D199" s="546"/>
      <c r="E199" s="546"/>
      <c r="F199" s="546"/>
      <c r="G199" s="546"/>
      <c r="H199" s="546"/>
      <c r="I199" s="546"/>
      <c r="J199" s="546"/>
      <c r="K199" s="577"/>
      <c r="AA199" s="114"/>
      <c r="AB199" s="114"/>
      <c r="AC199" s="114"/>
      <c r="AF199" s="114"/>
      <c r="AG199" s="114"/>
      <c r="AH199" s="114"/>
    </row>
    <row r="200" spans="1:34">
      <c r="A200" s="154"/>
      <c r="C200" s="546"/>
      <c r="D200" s="546"/>
      <c r="E200" s="546"/>
      <c r="F200" s="546"/>
      <c r="G200" s="546"/>
      <c r="H200" s="546"/>
      <c r="I200" s="546"/>
      <c r="J200" s="546"/>
      <c r="K200" s="577"/>
      <c r="AA200" s="114"/>
      <c r="AB200" s="114"/>
      <c r="AC200" s="114"/>
      <c r="AF200" s="114"/>
      <c r="AG200" s="114"/>
      <c r="AH200" s="114"/>
    </row>
    <row r="201" spans="1:34">
      <c r="A201" s="154"/>
      <c r="C201" s="546"/>
      <c r="D201" s="546"/>
      <c r="E201" s="546"/>
      <c r="F201" s="546"/>
      <c r="G201" s="546"/>
      <c r="H201" s="546"/>
      <c r="I201" s="546"/>
      <c r="J201" s="546"/>
      <c r="K201" s="577"/>
      <c r="AA201" s="114"/>
      <c r="AB201" s="114"/>
      <c r="AC201" s="114"/>
      <c r="AF201" s="114"/>
      <c r="AG201" s="114"/>
      <c r="AH201" s="114"/>
    </row>
    <row r="202" spans="1:34">
      <c r="A202" s="154"/>
      <c r="C202" s="546"/>
      <c r="D202" s="546"/>
      <c r="E202" s="546"/>
      <c r="F202" s="546"/>
      <c r="G202" s="546"/>
      <c r="H202" s="546"/>
      <c r="I202" s="546"/>
      <c r="J202" s="546"/>
      <c r="K202" s="577"/>
      <c r="AA202" s="114"/>
      <c r="AB202" s="114"/>
      <c r="AC202" s="114"/>
      <c r="AF202" s="114"/>
      <c r="AG202" s="114"/>
      <c r="AH202" s="114"/>
    </row>
    <row r="203" spans="1:34">
      <c r="A203" s="154"/>
      <c r="C203" s="546"/>
      <c r="D203" s="546"/>
      <c r="E203" s="546"/>
      <c r="F203" s="546"/>
      <c r="G203" s="546"/>
      <c r="H203" s="546"/>
      <c r="I203" s="546"/>
      <c r="J203" s="546"/>
      <c r="K203" s="577"/>
      <c r="AA203" s="114"/>
      <c r="AB203" s="114"/>
      <c r="AC203" s="114"/>
      <c r="AF203" s="114"/>
      <c r="AG203" s="114"/>
      <c r="AH203" s="114"/>
    </row>
    <row r="204" spans="1:34">
      <c r="A204" s="154"/>
      <c r="C204" s="546"/>
      <c r="D204" s="546"/>
      <c r="E204" s="546"/>
      <c r="F204" s="546"/>
      <c r="G204" s="546"/>
      <c r="H204" s="546"/>
      <c r="I204" s="546"/>
      <c r="J204" s="546"/>
      <c r="K204" s="577"/>
      <c r="AA204" s="114"/>
      <c r="AB204" s="114"/>
      <c r="AC204" s="114"/>
      <c r="AF204" s="114"/>
      <c r="AG204" s="114"/>
      <c r="AH204" s="114"/>
    </row>
    <row r="205" spans="1:34">
      <c r="A205" s="154"/>
      <c r="C205" s="546"/>
      <c r="D205" s="546"/>
      <c r="E205" s="546"/>
      <c r="F205" s="546"/>
      <c r="G205" s="546"/>
      <c r="H205" s="546"/>
      <c r="I205" s="546"/>
      <c r="J205" s="546"/>
      <c r="K205" s="577"/>
      <c r="AA205" s="114"/>
      <c r="AB205" s="114"/>
      <c r="AC205" s="114"/>
      <c r="AF205" s="114"/>
      <c r="AG205" s="114"/>
      <c r="AH205" s="114"/>
    </row>
    <row r="206" spans="1:34">
      <c r="A206" s="154"/>
      <c r="C206" s="546"/>
      <c r="D206" s="546"/>
      <c r="E206" s="546"/>
      <c r="F206" s="546"/>
      <c r="G206" s="546"/>
      <c r="H206" s="546"/>
      <c r="I206" s="546"/>
      <c r="J206" s="546"/>
      <c r="K206" s="577"/>
      <c r="AA206" s="114"/>
      <c r="AB206" s="114"/>
      <c r="AC206" s="114"/>
      <c r="AF206" s="114"/>
      <c r="AG206" s="114"/>
      <c r="AH206" s="114"/>
    </row>
    <row r="207" spans="1:34">
      <c r="A207" s="154"/>
      <c r="C207" s="546"/>
      <c r="D207" s="546"/>
      <c r="E207" s="546"/>
      <c r="F207" s="546"/>
      <c r="G207" s="546"/>
      <c r="H207" s="546"/>
      <c r="I207" s="546"/>
      <c r="J207" s="546"/>
      <c r="K207" s="577"/>
      <c r="AA207" s="114"/>
      <c r="AB207" s="114"/>
      <c r="AC207" s="114"/>
      <c r="AF207" s="114"/>
      <c r="AG207" s="114"/>
      <c r="AH207" s="114"/>
    </row>
    <row r="208" spans="1:34">
      <c r="A208" s="154"/>
      <c r="C208" s="546"/>
      <c r="D208" s="546"/>
      <c r="E208" s="546"/>
      <c r="F208" s="546"/>
      <c r="G208" s="546"/>
      <c r="H208" s="546"/>
      <c r="I208" s="546"/>
      <c r="J208" s="546"/>
      <c r="K208" s="577"/>
      <c r="AA208" s="114"/>
      <c r="AB208" s="114"/>
      <c r="AC208" s="114"/>
      <c r="AF208" s="114"/>
      <c r="AG208" s="114"/>
      <c r="AH208" s="114"/>
    </row>
    <row r="209" spans="1:34">
      <c r="A209" s="154"/>
      <c r="C209" s="546"/>
      <c r="D209" s="546"/>
      <c r="E209" s="546"/>
      <c r="F209" s="546"/>
      <c r="G209" s="546"/>
      <c r="H209" s="546"/>
      <c r="I209" s="546"/>
      <c r="J209" s="546"/>
      <c r="K209" s="577"/>
      <c r="AA209" s="114"/>
      <c r="AB209" s="114"/>
      <c r="AC209" s="114"/>
      <c r="AF209" s="114"/>
      <c r="AG209" s="114"/>
      <c r="AH209" s="114"/>
    </row>
    <row r="210" spans="1:34">
      <c r="A210" s="154"/>
      <c r="C210" s="546"/>
      <c r="D210" s="546"/>
      <c r="E210" s="546"/>
      <c r="F210" s="546"/>
      <c r="G210" s="546"/>
      <c r="H210" s="546"/>
      <c r="I210" s="546"/>
      <c r="J210" s="546"/>
      <c r="K210" s="577"/>
      <c r="AA210" s="114"/>
      <c r="AB210" s="114"/>
      <c r="AC210" s="114"/>
      <c r="AF210" s="114"/>
      <c r="AG210" s="114"/>
      <c r="AH210" s="114"/>
    </row>
    <row r="211" spans="1:34">
      <c r="A211" s="154"/>
      <c r="C211" s="546"/>
      <c r="D211" s="546"/>
      <c r="E211" s="546"/>
      <c r="F211" s="546"/>
      <c r="G211" s="546"/>
      <c r="H211" s="546"/>
      <c r="I211" s="546"/>
      <c r="J211" s="546"/>
      <c r="K211" s="577"/>
      <c r="AA211" s="114"/>
      <c r="AB211" s="114"/>
      <c r="AC211" s="114"/>
      <c r="AF211" s="114"/>
      <c r="AG211" s="114"/>
      <c r="AH211" s="114"/>
    </row>
    <row r="212" spans="1:34">
      <c r="A212" s="154"/>
      <c r="C212" s="546"/>
      <c r="D212" s="546"/>
      <c r="E212" s="546"/>
      <c r="F212" s="546"/>
      <c r="G212" s="546"/>
      <c r="H212" s="546"/>
      <c r="I212" s="546"/>
      <c r="J212" s="546"/>
      <c r="K212" s="577"/>
      <c r="AA212" s="114"/>
      <c r="AB212" s="114"/>
      <c r="AC212" s="114"/>
      <c r="AF212" s="114"/>
      <c r="AG212" s="114"/>
      <c r="AH212" s="114"/>
    </row>
    <row r="213" spans="1:34">
      <c r="A213" s="154"/>
      <c r="C213" s="546"/>
      <c r="D213" s="546"/>
      <c r="E213" s="546"/>
      <c r="F213" s="546"/>
      <c r="G213" s="546"/>
      <c r="H213" s="546"/>
      <c r="I213" s="546"/>
      <c r="J213" s="546"/>
      <c r="K213" s="577"/>
      <c r="AA213" s="114"/>
      <c r="AB213" s="114"/>
      <c r="AC213" s="114"/>
      <c r="AF213" s="114"/>
      <c r="AG213" s="114"/>
      <c r="AH213" s="114"/>
    </row>
    <row r="214" spans="1:34">
      <c r="A214" s="154"/>
      <c r="C214" s="546"/>
      <c r="D214" s="546"/>
      <c r="E214" s="546"/>
      <c r="F214" s="546"/>
      <c r="G214" s="546"/>
      <c r="H214" s="546"/>
      <c r="I214" s="546"/>
      <c r="J214" s="546"/>
      <c r="K214" s="577"/>
      <c r="AA214" s="114"/>
      <c r="AB214" s="114"/>
      <c r="AC214" s="114"/>
      <c r="AF214" s="114"/>
      <c r="AG214" s="114"/>
      <c r="AH214" s="114"/>
    </row>
    <row r="215" spans="1:34">
      <c r="A215" s="154"/>
      <c r="C215" s="546"/>
      <c r="D215" s="546"/>
      <c r="E215" s="546"/>
      <c r="F215" s="546"/>
      <c r="G215" s="546"/>
      <c r="H215" s="546"/>
      <c r="I215" s="546"/>
      <c r="J215" s="546"/>
      <c r="K215" s="577"/>
      <c r="AA215" s="114"/>
      <c r="AB215" s="114"/>
      <c r="AC215" s="114"/>
      <c r="AF215" s="114"/>
      <c r="AG215" s="114"/>
      <c r="AH215" s="114"/>
    </row>
    <row r="216" spans="1:34">
      <c r="A216" s="154"/>
      <c r="C216" s="546"/>
      <c r="D216" s="546"/>
      <c r="E216" s="546"/>
      <c r="F216" s="546"/>
      <c r="G216" s="546"/>
      <c r="H216" s="546"/>
      <c r="I216" s="546"/>
      <c r="J216" s="546"/>
      <c r="K216" s="577"/>
      <c r="AA216" s="114"/>
      <c r="AB216" s="114"/>
      <c r="AC216" s="114"/>
      <c r="AF216" s="114"/>
      <c r="AG216" s="114"/>
      <c r="AH216" s="114"/>
    </row>
    <row r="217" spans="1:34">
      <c r="A217" s="154"/>
      <c r="C217" s="546"/>
      <c r="D217" s="546"/>
      <c r="E217" s="546"/>
      <c r="F217" s="546"/>
      <c r="G217" s="546"/>
      <c r="H217" s="546"/>
      <c r="I217" s="546"/>
      <c r="J217" s="546"/>
      <c r="K217" s="577"/>
      <c r="AA217" s="114"/>
      <c r="AB217" s="114"/>
      <c r="AC217" s="114"/>
      <c r="AF217" s="114"/>
      <c r="AG217" s="114"/>
      <c r="AH217" s="114"/>
    </row>
    <row r="218" spans="1:34">
      <c r="A218" s="36"/>
      <c r="AA218" s="114"/>
      <c r="AB218" s="114"/>
      <c r="AC218" s="114"/>
      <c r="AF218" s="114"/>
      <c r="AG218" s="114"/>
      <c r="AH218" s="114"/>
    </row>
    <row r="219" spans="1:34">
      <c r="A219" s="36"/>
      <c r="AA219" s="114"/>
      <c r="AB219" s="114"/>
      <c r="AC219" s="114"/>
      <c r="AF219" s="114"/>
      <c r="AG219" s="114"/>
      <c r="AH219" s="114"/>
    </row>
    <row r="220" spans="1:34">
      <c r="A220" s="36"/>
      <c r="AA220" s="114"/>
      <c r="AB220" s="114"/>
      <c r="AC220" s="114"/>
      <c r="AF220" s="114"/>
      <c r="AG220" s="114"/>
      <c r="AH220" s="114"/>
    </row>
    <row r="221" spans="1:34">
      <c r="A221" s="36"/>
      <c r="AA221" s="114"/>
      <c r="AB221" s="114"/>
      <c r="AC221" s="114"/>
      <c r="AF221" s="114"/>
      <c r="AG221" s="114"/>
      <c r="AH221" s="114"/>
    </row>
    <row r="222" spans="1:34">
      <c r="A222" s="36"/>
      <c r="AA222" s="114"/>
      <c r="AB222" s="114"/>
      <c r="AC222" s="114"/>
      <c r="AF222" s="114"/>
      <c r="AG222" s="114"/>
      <c r="AH222" s="114"/>
    </row>
    <row r="223" spans="1:34">
      <c r="A223" s="36"/>
      <c r="AA223" s="114"/>
      <c r="AB223" s="114"/>
      <c r="AC223" s="114"/>
      <c r="AF223" s="114"/>
      <c r="AG223" s="114"/>
      <c r="AH223" s="114"/>
    </row>
    <row r="224" spans="1:34">
      <c r="A224" s="36"/>
      <c r="AA224" s="114"/>
      <c r="AB224" s="114"/>
      <c r="AC224" s="114"/>
      <c r="AF224" s="114"/>
      <c r="AG224" s="114"/>
      <c r="AH224" s="114"/>
    </row>
    <row r="225" spans="1:34">
      <c r="A225" s="36"/>
      <c r="AA225" s="114"/>
      <c r="AB225" s="114"/>
      <c r="AC225" s="114"/>
      <c r="AF225" s="114"/>
      <c r="AG225" s="114"/>
      <c r="AH225" s="114"/>
    </row>
    <row r="226" spans="1:34">
      <c r="A226" s="36"/>
      <c r="AA226" s="114"/>
      <c r="AB226" s="114"/>
      <c r="AC226" s="114"/>
      <c r="AF226" s="114"/>
      <c r="AG226" s="114"/>
      <c r="AH226" s="114"/>
    </row>
    <row r="227" spans="1:34">
      <c r="A227" s="36"/>
      <c r="AA227" s="114"/>
      <c r="AB227" s="114"/>
      <c r="AC227" s="114"/>
      <c r="AF227" s="114"/>
      <c r="AG227" s="114"/>
      <c r="AH227" s="114"/>
    </row>
    <row r="228" spans="1:34">
      <c r="A228" s="36"/>
      <c r="AA228" s="114"/>
      <c r="AB228" s="114"/>
      <c r="AC228" s="114"/>
      <c r="AF228" s="114"/>
      <c r="AG228" s="114"/>
      <c r="AH228" s="114"/>
    </row>
    <row r="229" spans="1:34">
      <c r="A229" s="36"/>
      <c r="AA229" s="114"/>
      <c r="AB229" s="114"/>
      <c r="AC229" s="114"/>
      <c r="AF229" s="114"/>
      <c r="AG229" s="114"/>
      <c r="AH229" s="114"/>
    </row>
    <row r="230" spans="1:34">
      <c r="A230" s="36"/>
      <c r="AA230" s="114"/>
      <c r="AB230" s="114"/>
      <c r="AC230" s="114"/>
      <c r="AF230" s="114"/>
      <c r="AG230" s="114"/>
      <c r="AH230" s="114"/>
    </row>
    <row r="231" spans="1:34">
      <c r="A231" s="36"/>
      <c r="AA231" s="114"/>
      <c r="AB231" s="114"/>
      <c r="AC231" s="114"/>
      <c r="AF231" s="114"/>
      <c r="AG231" s="114"/>
      <c r="AH231" s="114"/>
    </row>
    <row r="232" spans="1:34">
      <c r="A232" s="36"/>
      <c r="AA232" s="114"/>
      <c r="AB232" s="114"/>
      <c r="AC232" s="114"/>
      <c r="AF232" s="114"/>
      <c r="AG232" s="114"/>
      <c r="AH232" s="114"/>
    </row>
    <row r="233" spans="1:34">
      <c r="A233" s="36"/>
      <c r="AA233" s="114"/>
      <c r="AB233" s="114"/>
      <c r="AC233" s="114"/>
      <c r="AF233" s="114"/>
      <c r="AG233" s="114"/>
      <c r="AH233" s="114"/>
    </row>
    <row r="234" spans="1:34">
      <c r="A234" s="36"/>
      <c r="AA234" s="114"/>
      <c r="AB234" s="114"/>
      <c r="AC234" s="114"/>
      <c r="AF234" s="114"/>
      <c r="AG234" s="114"/>
      <c r="AH234" s="114"/>
    </row>
    <row r="235" spans="1:34">
      <c r="A235" s="36"/>
      <c r="AA235" s="114"/>
      <c r="AB235" s="114"/>
      <c r="AC235" s="114"/>
      <c r="AF235" s="114"/>
      <c r="AG235" s="114"/>
      <c r="AH235" s="114"/>
    </row>
    <row r="236" spans="1:34">
      <c r="A236" s="36"/>
      <c r="AA236" s="114"/>
      <c r="AB236" s="114"/>
      <c r="AC236" s="114"/>
      <c r="AF236" s="114"/>
      <c r="AG236" s="114"/>
      <c r="AH236" s="114"/>
    </row>
    <row r="237" spans="1:34">
      <c r="A237" s="36"/>
      <c r="AA237" s="114"/>
      <c r="AB237" s="114"/>
      <c r="AC237" s="114"/>
      <c r="AF237" s="114"/>
      <c r="AG237" s="114"/>
      <c r="AH237" s="114"/>
    </row>
    <row r="238" spans="1:34">
      <c r="A238" s="36"/>
      <c r="AA238" s="114"/>
      <c r="AB238" s="114"/>
      <c r="AC238" s="114"/>
      <c r="AF238" s="114"/>
      <c r="AG238" s="114"/>
      <c r="AH238" s="114"/>
    </row>
    <row r="239" spans="1:34">
      <c r="A239" s="36"/>
      <c r="AA239" s="114"/>
      <c r="AB239" s="114"/>
      <c r="AC239" s="114"/>
      <c r="AF239" s="114"/>
      <c r="AG239" s="114"/>
      <c r="AH239" s="114"/>
    </row>
    <row r="240" spans="1:34">
      <c r="A240" s="36"/>
      <c r="AA240" s="114"/>
      <c r="AB240" s="114"/>
      <c r="AC240" s="114"/>
      <c r="AF240" s="114"/>
      <c r="AG240" s="114"/>
      <c r="AH240" s="114"/>
    </row>
    <row r="241" spans="1:34">
      <c r="A241" s="36"/>
      <c r="AA241" s="114"/>
      <c r="AB241" s="114"/>
      <c r="AC241" s="114"/>
      <c r="AF241" s="114"/>
      <c r="AG241" s="114"/>
      <c r="AH241" s="114"/>
    </row>
    <row r="242" spans="1:34">
      <c r="A242" s="36"/>
      <c r="AA242" s="114"/>
      <c r="AB242" s="114"/>
      <c r="AC242" s="114"/>
      <c r="AF242" s="114"/>
      <c r="AG242" s="114"/>
      <c r="AH242" s="114"/>
    </row>
    <row r="243" spans="1:34">
      <c r="A243" s="36"/>
      <c r="AA243" s="114"/>
      <c r="AB243" s="114"/>
      <c r="AC243" s="114"/>
      <c r="AF243" s="114"/>
      <c r="AG243" s="114"/>
      <c r="AH243" s="114"/>
    </row>
    <row r="244" spans="1:34">
      <c r="A244" s="36"/>
      <c r="AA244" s="114"/>
      <c r="AB244" s="114"/>
      <c r="AC244" s="114"/>
      <c r="AF244" s="114"/>
      <c r="AG244" s="114"/>
      <c r="AH244" s="114"/>
    </row>
    <row r="245" spans="1:34">
      <c r="A245" s="36"/>
      <c r="AA245" s="114"/>
      <c r="AB245" s="114"/>
      <c r="AC245" s="114"/>
      <c r="AF245" s="114"/>
      <c r="AG245" s="114"/>
      <c r="AH245" s="114"/>
    </row>
    <row r="246" spans="1:34">
      <c r="A246" s="36"/>
      <c r="AA246" s="114"/>
      <c r="AB246" s="114"/>
      <c r="AC246" s="114"/>
      <c r="AF246" s="114"/>
      <c r="AG246" s="114"/>
      <c r="AH246" s="114"/>
    </row>
    <row r="247" spans="1:34">
      <c r="A247" s="36"/>
      <c r="AA247" s="114"/>
      <c r="AB247" s="114"/>
      <c r="AC247" s="114"/>
      <c r="AF247" s="114"/>
      <c r="AG247" s="114"/>
      <c r="AH247" s="114"/>
    </row>
    <row r="248" spans="1:34">
      <c r="A248" s="36"/>
      <c r="AA248" s="114"/>
      <c r="AB248" s="114"/>
      <c r="AC248" s="114"/>
      <c r="AF248" s="114"/>
      <c r="AG248" s="114"/>
      <c r="AH248" s="114"/>
    </row>
    <row r="249" spans="1:34">
      <c r="A249" s="36"/>
      <c r="AA249" s="114"/>
      <c r="AB249" s="114"/>
      <c r="AC249" s="114"/>
      <c r="AF249" s="114"/>
      <c r="AG249" s="114"/>
      <c r="AH249" s="114"/>
    </row>
    <row r="250" spans="1:34">
      <c r="A250" s="36"/>
      <c r="AA250" s="114"/>
      <c r="AB250" s="114"/>
      <c r="AC250" s="114"/>
      <c r="AF250" s="114"/>
      <c r="AG250" s="114"/>
      <c r="AH250" s="114"/>
    </row>
    <row r="251" spans="1:34">
      <c r="A251" s="36"/>
      <c r="AA251" s="114"/>
      <c r="AB251" s="114"/>
      <c r="AC251" s="114"/>
      <c r="AF251" s="114"/>
      <c r="AG251" s="114"/>
      <c r="AH251" s="114"/>
    </row>
    <row r="252" spans="1:34">
      <c r="A252" s="36"/>
      <c r="AA252" s="114"/>
      <c r="AB252" s="114"/>
      <c r="AC252" s="114"/>
      <c r="AF252" s="114"/>
      <c r="AG252" s="114"/>
      <c r="AH252" s="114"/>
    </row>
    <row r="253" spans="1:34">
      <c r="A253" s="36"/>
      <c r="AA253" s="114"/>
      <c r="AB253" s="114"/>
      <c r="AC253" s="114"/>
      <c r="AF253" s="114"/>
      <c r="AG253" s="114"/>
      <c r="AH253" s="114"/>
    </row>
    <row r="254" spans="1:34">
      <c r="A254" s="36"/>
      <c r="AA254" s="114"/>
      <c r="AB254" s="114"/>
      <c r="AC254" s="114"/>
      <c r="AF254" s="114"/>
      <c r="AG254" s="114"/>
      <c r="AH254" s="114"/>
    </row>
    <row r="255" spans="1:34">
      <c r="A255" s="36"/>
      <c r="AA255" s="114"/>
      <c r="AB255" s="114"/>
      <c r="AC255" s="114"/>
      <c r="AF255" s="114"/>
      <c r="AG255" s="114"/>
      <c r="AH255" s="114"/>
    </row>
    <row r="256" spans="1:34">
      <c r="A256" s="36"/>
      <c r="AA256" s="114"/>
      <c r="AB256" s="114"/>
      <c r="AC256" s="114"/>
      <c r="AF256" s="114"/>
      <c r="AG256" s="114"/>
      <c r="AH256" s="114"/>
    </row>
    <row r="257" spans="1:34">
      <c r="A257" s="36"/>
      <c r="AA257" s="114"/>
      <c r="AB257" s="114"/>
      <c r="AC257" s="114"/>
      <c r="AF257" s="114"/>
      <c r="AG257" s="114"/>
      <c r="AH257" s="114"/>
    </row>
    <row r="258" spans="1:34">
      <c r="A258" s="36"/>
      <c r="AA258" s="114"/>
      <c r="AB258" s="114"/>
      <c r="AC258" s="114"/>
      <c r="AF258" s="114"/>
      <c r="AG258" s="114"/>
      <c r="AH258" s="114"/>
    </row>
    <row r="259" spans="1:34">
      <c r="A259" s="36"/>
      <c r="AA259" s="114"/>
      <c r="AB259" s="114"/>
      <c r="AC259" s="114"/>
      <c r="AF259" s="114"/>
      <c r="AG259" s="114"/>
      <c r="AH259" s="114"/>
    </row>
    <row r="260" spans="1:34">
      <c r="A260" s="36"/>
      <c r="AA260" s="114"/>
      <c r="AB260" s="114"/>
      <c r="AC260" s="114"/>
      <c r="AF260" s="114"/>
      <c r="AG260" s="114"/>
      <c r="AH260" s="114"/>
    </row>
    <row r="261" spans="1:34">
      <c r="A261" s="36"/>
      <c r="AA261" s="114"/>
      <c r="AB261" s="114"/>
      <c r="AC261" s="114"/>
      <c r="AF261" s="114"/>
      <c r="AG261" s="114"/>
      <c r="AH261" s="114"/>
    </row>
    <row r="262" spans="1:34">
      <c r="A262" s="36"/>
      <c r="AA262" s="114"/>
      <c r="AB262" s="114"/>
      <c r="AC262" s="114"/>
      <c r="AF262" s="114"/>
      <c r="AG262" s="114"/>
      <c r="AH262" s="114"/>
    </row>
    <row r="263" spans="1:34">
      <c r="A263" s="36"/>
      <c r="AA263" s="114"/>
      <c r="AB263" s="114"/>
      <c r="AC263" s="114"/>
      <c r="AF263" s="114"/>
      <c r="AG263" s="114"/>
      <c r="AH263" s="114"/>
    </row>
    <row r="264" spans="1:34">
      <c r="A264" s="36"/>
      <c r="AA264" s="114"/>
      <c r="AB264" s="114"/>
      <c r="AC264" s="114"/>
      <c r="AF264" s="114"/>
      <c r="AG264" s="114"/>
      <c r="AH264" s="114"/>
    </row>
    <row r="265" spans="1:34">
      <c r="A265" s="36"/>
      <c r="AA265" s="114"/>
      <c r="AB265" s="114"/>
      <c r="AC265" s="114"/>
      <c r="AF265" s="114"/>
      <c r="AG265" s="114"/>
      <c r="AH265" s="114"/>
    </row>
    <row r="266" spans="1:34">
      <c r="A266" s="36"/>
      <c r="AA266" s="114"/>
      <c r="AB266" s="114"/>
      <c r="AC266" s="114"/>
      <c r="AF266" s="114"/>
      <c r="AG266" s="114"/>
      <c r="AH266" s="114"/>
    </row>
    <row r="267" spans="1:34">
      <c r="A267" s="36"/>
      <c r="AA267" s="114"/>
      <c r="AB267" s="114"/>
      <c r="AC267" s="114"/>
      <c r="AF267" s="114"/>
      <c r="AG267" s="114"/>
      <c r="AH267" s="114"/>
    </row>
    <row r="268" spans="1:34">
      <c r="A268" s="36"/>
      <c r="AA268" s="114"/>
      <c r="AB268" s="114"/>
      <c r="AC268" s="114"/>
      <c r="AF268" s="114"/>
      <c r="AG268" s="114"/>
      <c r="AH268" s="114"/>
    </row>
    <row r="269" spans="1:34">
      <c r="A269" s="36"/>
      <c r="AA269" s="114"/>
      <c r="AB269" s="114"/>
      <c r="AC269" s="114"/>
      <c r="AF269" s="114"/>
      <c r="AG269" s="114"/>
      <c r="AH269" s="114"/>
    </row>
    <row r="270" spans="1:34">
      <c r="A270" s="36"/>
      <c r="AA270" s="114"/>
      <c r="AB270" s="114"/>
      <c r="AC270" s="114"/>
      <c r="AF270" s="114"/>
      <c r="AG270" s="114"/>
      <c r="AH270" s="114"/>
    </row>
    <row r="271" spans="1:34">
      <c r="A271" s="36"/>
      <c r="AA271" s="114"/>
      <c r="AB271" s="114"/>
      <c r="AC271" s="114"/>
      <c r="AF271" s="114"/>
      <c r="AG271" s="114"/>
      <c r="AH271" s="114"/>
    </row>
    <row r="272" spans="1:34">
      <c r="A272" s="36"/>
      <c r="AA272" s="114"/>
      <c r="AB272" s="114"/>
      <c r="AC272" s="114"/>
      <c r="AF272" s="114"/>
      <c r="AG272" s="114"/>
      <c r="AH272" s="114"/>
    </row>
    <row r="273" spans="1:34">
      <c r="A273" s="36"/>
      <c r="AA273" s="114"/>
      <c r="AB273" s="114"/>
      <c r="AC273" s="114"/>
      <c r="AF273" s="114"/>
      <c r="AG273" s="114"/>
      <c r="AH273" s="114"/>
    </row>
    <row r="274" spans="1:34">
      <c r="A274" s="36"/>
      <c r="AA274" s="114"/>
      <c r="AB274" s="114"/>
      <c r="AC274" s="114"/>
      <c r="AF274" s="114"/>
      <c r="AG274" s="114"/>
      <c r="AH274" s="114"/>
    </row>
    <row r="275" spans="1:34">
      <c r="A275" s="36"/>
      <c r="AA275" s="114"/>
      <c r="AB275" s="114"/>
      <c r="AC275" s="114"/>
      <c r="AF275" s="114"/>
      <c r="AG275" s="114"/>
      <c r="AH275" s="114"/>
    </row>
    <row r="276" spans="1:34">
      <c r="A276" s="36"/>
      <c r="AA276" s="114"/>
      <c r="AB276" s="114"/>
      <c r="AC276" s="114"/>
      <c r="AF276" s="114"/>
      <c r="AG276" s="114"/>
      <c r="AH276" s="114"/>
    </row>
    <row r="277" spans="1:34">
      <c r="A277" s="36"/>
      <c r="AA277" s="114"/>
      <c r="AB277" s="114"/>
      <c r="AC277" s="114"/>
      <c r="AF277" s="114"/>
      <c r="AG277" s="114"/>
      <c r="AH277" s="114"/>
    </row>
    <row r="278" spans="1:34">
      <c r="A278" s="36"/>
      <c r="AA278" s="114"/>
      <c r="AB278" s="114"/>
      <c r="AC278" s="114"/>
      <c r="AF278" s="114"/>
      <c r="AG278" s="114"/>
      <c r="AH278" s="114"/>
    </row>
    <row r="279" spans="1:34">
      <c r="A279" s="36"/>
      <c r="AA279" s="114"/>
      <c r="AB279" s="114"/>
      <c r="AC279" s="114"/>
      <c r="AF279" s="114"/>
      <c r="AG279" s="114"/>
      <c r="AH279" s="114"/>
    </row>
    <row r="280" spans="1:34">
      <c r="A280" s="36"/>
      <c r="AA280" s="114"/>
      <c r="AB280" s="114"/>
      <c r="AC280" s="114"/>
      <c r="AF280" s="114"/>
      <c r="AG280" s="114"/>
      <c r="AH280" s="114"/>
    </row>
    <row r="281" spans="1:34">
      <c r="A281" s="36"/>
      <c r="AA281" s="114"/>
      <c r="AB281" s="114"/>
      <c r="AC281" s="114"/>
      <c r="AF281" s="114"/>
      <c r="AG281" s="114"/>
      <c r="AH281" s="114"/>
    </row>
    <row r="282" spans="1:34">
      <c r="A282" s="36"/>
      <c r="AA282" s="114"/>
      <c r="AB282" s="114"/>
      <c r="AC282" s="114"/>
      <c r="AF282" s="114"/>
      <c r="AG282" s="114"/>
      <c r="AH282" s="114"/>
    </row>
    <row r="283" spans="1:34">
      <c r="A283" s="36"/>
      <c r="AA283" s="114"/>
      <c r="AB283" s="114"/>
      <c r="AC283" s="114"/>
      <c r="AF283" s="114"/>
      <c r="AG283" s="114"/>
      <c r="AH283" s="114"/>
    </row>
    <row r="284" spans="1:34">
      <c r="A284" s="36"/>
      <c r="AA284" s="114"/>
      <c r="AB284" s="114"/>
      <c r="AC284" s="114"/>
      <c r="AF284" s="114"/>
      <c r="AG284" s="114"/>
      <c r="AH284" s="114"/>
    </row>
    <row r="285" spans="1:34">
      <c r="A285" s="36"/>
      <c r="AA285" s="114"/>
      <c r="AB285" s="114"/>
      <c r="AC285" s="114"/>
      <c r="AF285" s="114"/>
      <c r="AG285" s="114"/>
      <c r="AH285" s="114"/>
    </row>
    <row r="286" spans="1:34">
      <c r="A286" s="36"/>
      <c r="AA286" s="114"/>
      <c r="AB286" s="114"/>
      <c r="AC286" s="114"/>
      <c r="AF286" s="114"/>
      <c r="AG286" s="114"/>
      <c r="AH286" s="114"/>
    </row>
    <row r="287" spans="1:34">
      <c r="A287" s="36"/>
      <c r="AA287" s="114"/>
      <c r="AB287" s="114"/>
      <c r="AC287" s="114"/>
      <c r="AF287" s="114"/>
      <c r="AG287" s="114"/>
      <c r="AH287" s="114"/>
    </row>
    <row r="288" spans="1:34">
      <c r="A288" s="36"/>
      <c r="AA288" s="114"/>
      <c r="AB288" s="114"/>
      <c r="AC288" s="114"/>
      <c r="AF288" s="114"/>
      <c r="AG288" s="114"/>
      <c r="AH288" s="114"/>
    </row>
    <row r="289" spans="1:34">
      <c r="A289" s="36"/>
      <c r="AA289" s="114"/>
      <c r="AB289" s="114"/>
      <c r="AC289" s="114"/>
      <c r="AF289" s="114"/>
      <c r="AG289" s="114"/>
      <c r="AH289" s="114"/>
    </row>
    <row r="290" spans="1:34">
      <c r="A290" s="36"/>
      <c r="AA290" s="114"/>
      <c r="AB290" s="114"/>
      <c r="AC290" s="114"/>
      <c r="AF290" s="114"/>
      <c r="AG290" s="114"/>
      <c r="AH290" s="114"/>
    </row>
    <row r="291" spans="1:34">
      <c r="A291" s="36"/>
      <c r="AA291" s="114"/>
      <c r="AB291" s="114"/>
      <c r="AC291" s="114"/>
      <c r="AF291" s="114"/>
      <c r="AG291" s="114"/>
      <c r="AH291" s="114"/>
    </row>
    <row r="292" spans="1:34">
      <c r="A292" s="36"/>
      <c r="AA292" s="114"/>
      <c r="AB292" s="114"/>
      <c r="AC292" s="114"/>
      <c r="AF292" s="114"/>
      <c r="AG292" s="114"/>
      <c r="AH292" s="114"/>
    </row>
    <row r="293" spans="1:34">
      <c r="A293" s="36"/>
      <c r="AA293" s="114"/>
      <c r="AB293" s="114"/>
      <c r="AC293" s="114"/>
      <c r="AF293" s="114"/>
      <c r="AG293" s="114"/>
      <c r="AH293" s="114"/>
    </row>
    <row r="294" spans="1:34">
      <c r="A294" s="36"/>
      <c r="AA294" s="114"/>
      <c r="AB294" s="114"/>
      <c r="AC294" s="114"/>
      <c r="AF294" s="114"/>
      <c r="AG294" s="114"/>
      <c r="AH294" s="114"/>
    </row>
    <row r="295" spans="1:34">
      <c r="A295" s="36"/>
      <c r="AA295" s="114"/>
      <c r="AB295" s="114"/>
      <c r="AC295" s="114"/>
      <c r="AF295" s="114"/>
      <c r="AG295" s="114"/>
      <c r="AH295" s="114"/>
    </row>
    <row r="296" spans="1:34">
      <c r="A296" s="36"/>
      <c r="AA296" s="114"/>
      <c r="AB296" s="114"/>
      <c r="AC296" s="114"/>
      <c r="AF296" s="114"/>
      <c r="AG296" s="114"/>
      <c r="AH296" s="114"/>
    </row>
    <row r="297" spans="1:34">
      <c r="A297" s="36"/>
      <c r="AA297" s="114"/>
      <c r="AB297" s="114"/>
      <c r="AC297" s="114"/>
      <c r="AF297" s="114"/>
      <c r="AG297" s="114"/>
      <c r="AH297" s="114"/>
    </row>
    <row r="298" spans="1:34">
      <c r="A298" s="36"/>
      <c r="AA298" s="114"/>
      <c r="AB298" s="114"/>
      <c r="AC298" s="114"/>
      <c r="AF298" s="114"/>
      <c r="AG298" s="114"/>
      <c r="AH298" s="114"/>
    </row>
    <row r="299" spans="1:34">
      <c r="A299" s="36"/>
      <c r="AA299" s="114"/>
      <c r="AB299" s="114"/>
      <c r="AC299" s="114"/>
      <c r="AF299" s="114"/>
      <c r="AG299" s="114"/>
      <c r="AH299" s="114"/>
    </row>
    <row r="300" spans="1:34">
      <c r="A300" s="36"/>
      <c r="AA300" s="114"/>
      <c r="AB300" s="114"/>
      <c r="AC300" s="114"/>
      <c r="AF300" s="114"/>
      <c r="AG300" s="114"/>
      <c r="AH300" s="114"/>
    </row>
    <row r="301" spans="1:34">
      <c r="A301" s="36"/>
      <c r="AA301" s="114"/>
      <c r="AB301" s="114"/>
      <c r="AC301" s="114"/>
      <c r="AF301" s="114"/>
      <c r="AG301" s="114"/>
      <c r="AH301" s="114"/>
    </row>
    <row r="302" spans="1:34">
      <c r="A302" s="36"/>
      <c r="AA302" s="114"/>
      <c r="AB302" s="114"/>
      <c r="AC302" s="114"/>
      <c r="AF302" s="114"/>
      <c r="AG302" s="114"/>
      <c r="AH302" s="114"/>
    </row>
    <row r="303" spans="1:34">
      <c r="A303" s="36"/>
      <c r="AA303" s="114"/>
      <c r="AB303" s="114"/>
      <c r="AC303" s="114"/>
      <c r="AF303" s="114"/>
      <c r="AG303" s="114"/>
      <c r="AH303" s="114"/>
    </row>
    <row r="304" spans="1:34">
      <c r="A304" s="36"/>
      <c r="AA304" s="114"/>
      <c r="AB304" s="114"/>
      <c r="AC304" s="114"/>
      <c r="AF304" s="114"/>
      <c r="AG304" s="114"/>
      <c r="AH304" s="114"/>
    </row>
    <row r="305" spans="1:34">
      <c r="A305" s="36"/>
      <c r="AA305" s="114"/>
      <c r="AB305" s="114"/>
      <c r="AC305" s="114"/>
      <c r="AF305" s="114"/>
      <c r="AG305" s="114"/>
      <c r="AH305" s="114"/>
    </row>
    <row r="306" spans="1:34">
      <c r="A306" s="36"/>
      <c r="AA306" s="114"/>
      <c r="AB306" s="114"/>
      <c r="AC306" s="114"/>
      <c r="AF306" s="114"/>
      <c r="AG306" s="114"/>
      <c r="AH306" s="114"/>
    </row>
    <row r="307" spans="1:34">
      <c r="A307" s="36"/>
      <c r="AA307" s="114"/>
      <c r="AB307" s="114"/>
      <c r="AC307" s="114"/>
      <c r="AF307" s="114"/>
      <c r="AG307" s="114"/>
      <c r="AH307" s="114"/>
    </row>
    <row r="308" spans="1:34">
      <c r="A308" s="36"/>
      <c r="AA308" s="114"/>
      <c r="AB308" s="114"/>
      <c r="AC308" s="114"/>
      <c r="AF308" s="114"/>
      <c r="AG308" s="114"/>
      <c r="AH308" s="114"/>
    </row>
    <row r="309" spans="1:34">
      <c r="A309" s="36"/>
      <c r="AA309" s="114"/>
      <c r="AB309" s="114"/>
      <c r="AC309" s="114"/>
      <c r="AF309" s="114"/>
      <c r="AG309" s="114"/>
      <c r="AH309" s="114"/>
    </row>
    <row r="310" spans="1:34">
      <c r="A310" s="36"/>
      <c r="AA310" s="114"/>
      <c r="AB310" s="114"/>
      <c r="AC310" s="114"/>
      <c r="AF310" s="114"/>
      <c r="AG310" s="114"/>
      <c r="AH310" s="114"/>
    </row>
    <row r="311" spans="1:34">
      <c r="A311" s="36"/>
      <c r="AA311" s="114"/>
      <c r="AB311" s="114"/>
      <c r="AC311" s="114"/>
      <c r="AF311" s="114"/>
      <c r="AG311" s="114"/>
      <c r="AH311" s="114"/>
    </row>
    <row r="312" spans="1:34">
      <c r="A312" s="36"/>
      <c r="AA312" s="114"/>
      <c r="AB312" s="114"/>
      <c r="AC312" s="114"/>
      <c r="AF312" s="114"/>
      <c r="AG312" s="114"/>
      <c r="AH312" s="114"/>
    </row>
    <row r="313" spans="1:34">
      <c r="A313" s="36"/>
      <c r="AA313" s="114"/>
      <c r="AB313" s="114"/>
      <c r="AC313" s="114"/>
      <c r="AF313" s="114"/>
      <c r="AG313" s="114"/>
      <c r="AH313" s="114"/>
    </row>
    <row r="314" spans="1:34">
      <c r="A314" s="36"/>
      <c r="AA314" s="114"/>
      <c r="AB314" s="114"/>
      <c r="AC314" s="114"/>
      <c r="AF314" s="114"/>
      <c r="AG314" s="114"/>
      <c r="AH314" s="114"/>
    </row>
    <row r="315" spans="1:34">
      <c r="A315" s="36"/>
      <c r="AA315" s="114"/>
      <c r="AB315" s="114"/>
      <c r="AC315" s="114"/>
      <c r="AF315" s="114"/>
      <c r="AG315" s="114"/>
      <c r="AH315" s="114"/>
    </row>
    <row r="316" spans="1:34">
      <c r="A316" s="36"/>
      <c r="AA316" s="114"/>
      <c r="AB316" s="114"/>
      <c r="AC316" s="114"/>
      <c r="AF316" s="114"/>
      <c r="AG316" s="114"/>
      <c r="AH316" s="114"/>
    </row>
    <row r="317" spans="1:34">
      <c r="A317" s="36"/>
      <c r="AA317" s="114"/>
      <c r="AB317" s="114"/>
      <c r="AC317" s="114"/>
      <c r="AF317" s="114"/>
      <c r="AG317" s="114"/>
      <c r="AH317" s="114"/>
    </row>
    <row r="318" spans="1:34">
      <c r="A318" s="36"/>
      <c r="AA318" s="114"/>
      <c r="AB318" s="114"/>
      <c r="AC318" s="114"/>
      <c r="AF318" s="114"/>
      <c r="AG318" s="114"/>
      <c r="AH318" s="114"/>
    </row>
    <row r="319" spans="1:34">
      <c r="A319" s="36"/>
      <c r="AA319" s="114"/>
      <c r="AB319" s="114"/>
      <c r="AC319" s="114"/>
      <c r="AF319" s="114"/>
      <c r="AG319" s="114"/>
      <c r="AH319" s="114"/>
    </row>
    <row r="320" spans="1:34">
      <c r="A320" s="36"/>
      <c r="AA320" s="114"/>
      <c r="AB320" s="114"/>
      <c r="AC320" s="114"/>
      <c r="AF320" s="114"/>
      <c r="AG320" s="114"/>
      <c r="AH320" s="114"/>
    </row>
    <row r="321" spans="1:34">
      <c r="A321" s="36"/>
      <c r="AA321" s="114"/>
      <c r="AB321" s="114"/>
      <c r="AC321" s="114"/>
      <c r="AF321" s="114"/>
      <c r="AG321" s="114"/>
      <c r="AH321" s="114"/>
    </row>
    <row r="322" spans="1:34">
      <c r="A322" s="36"/>
      <c r="AA322" s="114"/>
      <c r="AB322" s="114"/>
      <c r="AC322" s="114"/>
      <c r="AF322" s="114"/>
      <c r="AG322" s="114"/>
      <c r="AH322" s="114"/>
    </row>
    <row r="323" spans="1:34">
      <c r="A323" s="36"/>
      <c r="AA323" s="114"/>
      <c r="AB323" s="114"/>
      <c r="AC323" s="114"/>
      <c r="AF323" s="114"/>
      <c r="AG323" s="114"/>
      <c r="AH323" s="114"/>
    </row>
    <row r="324" spans="1:34">
      <c r="A324" s="36"/>
      <c r="AA324" s="114"/>
      <c r="AB324" s="114"/>
      <c r="AC324" s="114"/>
      <c r="AF324" s="114"/>
      <c r="AG324" s="114"/>
      <c r="AH324" s="114"/>
    </row>
    <row r="325" spans="1:34">
      <c r="A325" s="36"/>
      <c r="AA325" s="114"/>
      <c r="AB325" s="114"/>
      <c r="AC325" s="114"/>
      <c r="AF325" s="114"/>
      <c r="AG325" s="114"/>
      <c r="AH325" s="114"/>
    </row>
    <row r="326" spans="1:34">
      <c r="A326" s="36"/>
      <c r="AA326" s="114"/>
      <c r="AB326" s="114"/>
      <c r="AC326" s="114"/>
      <c r="AF326" s="114"/>
      <c r="AG326" s="114"/>
      <c r="AH326" s="114"/>
    </row>
    <row r="327" spans="1:34">
      <c r="A327" s="36"/>
      <c r="AA327" s="114"/>
      <c r="AB327" s="114"/>
      <c r="AC327" s="114"/>
      <c r="AF327" s="114"/>
      <c r="AG327" s="114"/>
      <c r="AH327" s="114"/>
    </row>
    <row r="328" spans="1:34">
      <c r="A328" s="36"/>
      <c r="AA328" s="114"/>
      <c r="AB328" s="114"/>
      <c r="AC328" s="114"/>
      <c r="AF328" s="114"/>
      <c r="AG328" s="114"/>
      <c r="AH328" s="114"/>
    </row>
    <row r="329" spans="1:34">
      <c r="A329" s="36"/>
      <c r="AA329" s="114"/>
      <c r="AB329" s="114"/>
      <c r="AC329" s="114"/>
      <c r="AF329" s="114"/>
      <c r="AG329" s="114"/>
      <c r="AH329" s="114"/>
    </row>
    <row r="330" spans="1:34">
      <c r="A330" s="36"/>
      <c r="AA330" s="114"/>
      <c r="AB330" s="114"/>
      <c r="AC330" s="114"/>
      <c r="AF330" s="114"/>
      <c r="AG330" s="114"/>
      <c r="AH330" s="114"/>
    </row>
    <row r="331" spans="1:34">
      <c r="A331" s="36"/>
      <c r="AA331" s="114"/>
      <c r="AB331" s="114"/>
      <c r="AC331" s="114"/>
      <c r="AF331" s="114"/>
      <c r="AG331" s="114"/>
      <c r="AH331" s="114"/>
    </row>
    <row r="332" spans="1:34">
      <c r="A332" s="36"/>
      <c r="AA332" s="114"/>
      <c r="AB332" s="114"/>
      <c r="AC332" s="114"/>
      <c r="AF332" s="114"/>
      <c r="AG332" s="114"/>
      <c r="AH332" s="114"/>
    </row>
    <row r="333" spans="1:34">
      <c r="A333" s="36"/>
      <c r="AA333" s="114"/>
      <c r="AB333" s="114"/>
      <c r="AC333" s="114"/>
      <c r="AF333" s="114"/>
      <c r="AG333" s="114"/>
      <c r="AH333" s="114"/>
    </row>
    <row r="334" spans="1:34">
      <c r="A334" s="36"/>
      <c r="AA334" s="114"/>
      <c r="AB334" s="114"/>
      <c r="AC334" s="114"/>
      <c r="AF334" s="114"/>
      <c r="AG334" s="114"/>
      <c r="AH334" s="114"/>
    </row>
    <row r="335" spans="1:34">
      <c r="A335" s="36"/>
      <c r="AA335" s="114"/>
      <c r="AB335" s="114"/>
      <c r="AC335" s="114"/>
      <c r="AF335" s="114"/>
      <c r="AG335" s="114"/>
      <c r="AH335" s="114"/>
    </row>
    <row r="336" spans="1:34">
      <c r="A336" s="36"/>
      <c r="AA336" s="114"/>
      <c r="AB336" s="114"/>
      <c r="AC336" s="114"/>
      <c r="AF336" s="114"/>
      <c r="AG336" s="114"/>
      <c r="AH336" s="114"/>
    </row>
    <row r="337" spans="1:34">
      <c r="A337" s="36"/>
      <c r="AA337" s="114"/>
      <c r="AB337" s="114"/>
      <c r="AC337" s="114"/>
      <c r="AF337" s="114"/>
      <c r="AG337" s="114"/>
      <c r="AH337" s="114"/>
    </row>
    <row r="338" spans="1:34">
      <c r="A338" s="36"/>
      <c r="AA338" s="114"/>
      <c r="AB338" s="114"/>
      <c r="AC338" s="114"/>
      <c r="AF338" s="114"/>
      <c r="AG338" s="114"/>
      <c r="AH338" s="114"/>
    </row>
    <row r="339" spans="1:34">
      <c r="A339" s="36"/>
      <c r="AA339" s="114"/>
      <c r="AB339" s="114"/>
      <c r="AC339" s="114"/>
      <c r="AF339" s="114"/>
      <c r="AG339" s="114"/>
      <c r="AH339" s="114"/>
    </row>
    <row r="340" spans="1:34">
      <c r="A340" s="36"/>
      <c r="AA340" s="114"/>
      <c r="AB340" s="114"/>
      <c r="AC340" s="114"/>
      <c r="AF340" s="114"/>
      <c r="AG340" s="114"/>
      <c r="AH340" s="114"/>
    </row>
    <row r="341" spans="1:34">
      <c r="A341" s="36"/>
      <c r="AA341" s="114"/>
      <c r="AB341" s="114"/>
      <c r="AC341" s="114"/>
      <c r="AF341" s="114"/>
      <c r="AG341" s="114"/>
      <c r="AH341" s="114"/>
    </row>
    <row r="342" spans="1:34">
      <c r="A342" s="36"/>
      <c r="AA342" s="114"/>
      <c r="AB342" s="114"/>
      <c r="AC342" s="114"/>
      <c r="AF342" s="114"/>
      <c r="AG342" s="114"/>
      <c r="AH342" s="114"/>
    </row>
    <row r="343" spans="1:34">
      <c r="A343" s="36"/>
      <c r="AA343" s="114"/>
      <c r="AB343" s="114"/>
      <c r="AC343" s="114"/>
      <c r="AF343" s="114"/>
      <c r="AG343" s="114"/>
      <c r="AH343" s="114"/>
    </row>
    <row r="344" spans="1:34">
      <c r="A344" s="36"/>
      <c r="AA344" s="114"/>
      <c r="AB344" s="114"/>
      <c r="AC344" s="114"/>
      <c r="AF344" s="114"/>
      <c r="AG344" s="114"/>
      <c r="AH344" s="114"/>
    </row>
    <row r="345" spans="1:34">
      <c r="A345" s="36"/>
      <c r="AA345" s="114"/>
      <c r="AB345" s="114"/>
      <c r="AC345" s="114"/>
      <c r="AF345" s="114"/>
      <c r="AG345" s="114"/>
      <c r="AH345" s="114"/>
    </row>
    <row r="346" spans="1:34">
      <c r="A346" s="36"/>
      <c r="AA346" s="114"/>
      <c r="AB346" s="114"/>
      <c r="AC346" s="114"/>
      <c r="AF346" s="114"/>
      <c r="AG346" s="114"/>
      <c r="AH346" s="114"/>
    </row>
    <row r="347" spans="1:34">
      <c r="A347" s="36"/>
      <c r="AA347" s="114"/>
      <c r="AB347" s="114"/>
      <c r="AC347" s="114"/>
      <c r="AF347" s="114"/>
      <c r="AG347" s="114"/>
      <c r="AH347" s="114"/>
    </row>
    <row r="348" spans="1:34">
      <c r="A348" s="36"/>
      <c r="AA348" s="114"/>
      <c r="AB348" s="114"/>
      <c r="AC348" s="114"/>
      <c r="AF348" s="114"/>
      <c r="AG348" s="114"/>
      <c r="AH348" s="114"/>
    </row>
    <row r="349" spans="1:34">
      <c r="A349" s="36"/>
      <c r="AA349" s="114"/>
      <c r="AB349" s="114"/>
      <c r="AC349" s="114"/>
      <c r="AF349" s="114"/>
      <c r="AG349" s="114"/>
      <c r="AH349" s="114"/>
    </row>
    <row r="350" spans="1:34">
      <c r="A350" s="36"/>
      <c r="AA350" s="114"/>
      <c r="AB350" s="114"/>
      <c r="AC350" s="114"/>
      <c r="AF350" s="114"/>
      <c r="AG350" s="114"/>
      <c r="AH350" s="114"/>
    </row>
    <row r="351" spans="1:34">
      <c r="A351" s="36"/>
      <c r="AA351" s="114"/>
      <c r="AB351" s="114"/>
      <c r="AC351" s="114"/>
      <c r="AF351" s="114"/>
      <c r="AG351" s="114"/>
      <c r="AH351" s="114"/>
    </row>
    <row r="352" spans="1:34">
      <c r="A352" s="36"/>
      <c r="AA352" s="114"/>
      <c r="AB352" s="114"/>
      <c r="AC352" s="114"/>
      <c r="AF352" s="114"/>
      <c r="AG352" s="114"/>
      <c r="AH352" s="114"/>
    </row>
    <row r="353" spans="1:34">
      <c r="A353" s="36"/>
      <c r="AA353" s="114"/>
      <c r="AB353" s="114"/>
      <c r="AC353" s="114"/>
      <c r="AF353" s="114"/>
      <c r="AG353" s="114"/>
      <c r="AH353" s="114"/>
    </row>
    <row r="354" spans="1:34">
      <c r="A354" s="36"/>
      <c r="AA354" s="114"/>
      <c r="AB354" s="114"/>
      <c r="AC354" s="114"/>
      <c r="AF354" s="114"/>
      <c r="AG354" s="114"/>
      <c r="AH354" s="114"/>
    </row>
    <row r="355" spans="1:34">
      <c r="A355" s="36"/>
      <c r="AA355" s="114"/>
      <c r="AB355" s="114"/>
      <c r="AC355" s="114"/>
      <c r="AF355" s="114"/>
      <c r="AG355" s="114"/>
      <c r="AH355" s="114"/>
    </row>
    <row r="356" spans="1:34">
      <c r="A356" s="36"/>
      <c r="AA356" s="114"/>
      <c r="AB356" s="114"/>
      <c r="AC356" s="114"/>
      <c r="AF356" s="114"/>
      <c r="AG356" s="114"/>
      <c r="AH356" s="114"/>
    </row>
    <row r="357" spans="1:34">
      <c r="A357" s="36"/>
      <c r="AA357" s="114"/>
      <c r="AB357" s="114"/>
      <c r="AC357" s="114"/>
      <c r="AF357" s="114"/>
      <c r="AG357" s="114"/>
      <c r="AH357" s="114"/>
    </row>
    <row r="358" spans="1:34">
      <c r="A358" s="36"/>
      <c r="AA358" s="114"/>
      <c r="AB358" s="114"/>
      <c r="AC358" s="114"/>
      <c r="AF358" s="114"/>
      <c r="AG358" s="114"/>
      <c r="AH358" s="114"/>
    </row>
    <row r="359" spans="1:34">
      <c r="A359" s="36"/>
      <c r="AA359" s="114"/>
      <c r="AB359" s="114"/>
      <c r="AC359" s="114"/>
      <c r="AF359" s="114"/>
      <c r="AG359" s="114"/>
      <c r="AH359" s="114"/>
    </row>
    <row r="360" spans="1:34">
      <c r="A360" s="36"/>
      <c r="AA360" s="114"/>
      <c r="AB360" s="114"/>
      <c r="AC360" s="114"/>
      <c r="AF360" s="114"/>
      <c r="AG360" s="114"/>
      <c r="AH360" s="114"/>
    </row>
    <row r="361" spans="1:34">
      <c r="A361" s="36"/>
      <c r="AA361" s="114"/>
      <c r="AB361" s="114"/>
      <c r="AC361" s="114"/>
      <c r="AF361" s="114"/>
      <c r="AG361" s="114"/>
      <c r="AH361" s="114"/>
    </row>
    <row r="362" spans="1:34">
      <c r="A362" s="36"/>
      <c r="AA362" s="114"/>
      <c r="AB362" s="114"/>
      <c r="AC362" s="114"/>
      <c r="AF362" s="114"/>
      <c r="AG362" s="114"/>
      <c r="AH362" s="114"/>
    </row>
    <row r="363" spans="1:34">
      <c r="A363" s="36"/>
      <c r="AA363" s="114"/>
      <c r="AB363" s="114"/>
      <c r="AC363" s="114"/>
      <c r="AF363" s="114"/>
      <c r="AG363" s="114"/>
      <c r="AH363" s="114"/>
    </row>
    <row r="364" spans="1:34">
      <c r="A364" s="36"/>
      <c r="AA364" s="114"/>
      <c r="AB364" s="114"/>
      <c r="AC364" s="114"/>
      <c r="AF364" s="114"/>
      <c r="AG364" s="114"/>
      <c r="AH364" s="114"/>
    </row>
    <row r="365" spans="1:34">
      <c r="A365" s="36"/>
      <c r="AA365" s="114"/>
      <c r="AB365" s="114"/>
      <c r="AC365" s="114"/>
      <c r="AF365" s="114"/>
      <c r="AG365" s="114"/>
      <c r="AH365" s="114"/>
    </row>
    <row r="366" spans="1:34">
      <c r="A366" s="36"/>
      <c r="AA366" s="114"/>
      <c r="AB366" s="114"/>
      <c r="AC366" s="114"/>
      <c r="AF366" s="114"/>
      <c r="AG366" s="114"/>
      <c r="AH366" s="114"/>
    </row>
    <row r="367" spans="1:34">
      <c r="A367" s="36"/>
      <c r="AA367" s="114"/>
      <c r="AB367" s="114"/>
      <c r="AC367" s="114"/>
      <c r="AF367" s="114"/>
      <c r="AG367" s="114"/>
      <c r="AH367" s="114"/>
    </row>
    <row r="368" spans="1:34">
      <c r="A368" s="36"/>
      <c r="AA368" s="114"/>
      <c r="AB368" s="114"/>
      <c r="AC368" s="114"/>
      <c r="AF368" s="114"/>
      <c r="AG368" s="114"/>
      <c r="AH368" s="114"/>
    </row>
    <row r="369" spans="1:34">
      <c r="A369" s="36"/>
      <c r="AA369" s="114"/>
      <c r="AB369" s="114"/>
      <c r="AC369" s="114"/>
      <c r="AF369" s="114"/>
      <c r="AG369" s="114"/>
      <c r="AH369" s="114"/>
    </row>
    <row r="370" spans="1:34">
      <c r="A370" s="36"/>
      <c r="AA370" s="114"/>
      <c r="AB370" s="114"/>
      <c r="AC370" s="114"/>
      <c r="AF370" s="114"/>
      <c r="AG370" s="114"/>
      <c r="AH370" s="114"/>
    </row>
    <row r="371" spans="1:34">
      <c r="A371" s="36"/>
      <c r="AA371" s="114"/>
      <c r="AB371" s="114"/>
      <c r="AC371" s="114"/>
      <c r="AF371" s="114"/>
      <c r="AG371" s="114"/>
      <c r="AH371" s="114"/>
    </row>
    <row r="372" spans="1:34">
      <c r="A372" s="36"/>
      <c r="AA372" s="114"/>
      <c r="AB372" s="114"/>
      <c r="AC372" s="114"/>
      <c r="AF372" s="114"/>
      <c r="AG372" s="114"/>
      <c r="AH372" s="114"/>
    </row>
    <row r="373" spans="1:34">
      <c r="A373" s="36"/>
      <c r="AA373" s="114"/>
      <c r="AB373" s="114"/>
      <c r="AC373" s="114"/>
      <c r="AF373" s="114"/>
      <c r="AG373" s="114"/>
      <c r="AH373" s="114"/>
    </row>
    <row r="374" spans="1:34">
      <c r="A374" s="36"/>
      <c r="AA374" s="114"/>
      <c r="AB374" s="114"/>
      <c r="AC374" s="114"/>
      <c r="AF374" s="114"/>
      <c r="AG374" s="114"/>
      <c r="AH374" s="114"/>
    </row>
    <row r="375" spans="1:34">
      <c r="A375" s="36"/>
      <c r="AA375" s="114"/>
      <c r="AB375" s="114"/>
      <c r="AC375" s="114"/>
      <c r="AF375" s="114"/>
      <c r="AG375" s="114"/>
      <c r="AH375" s="114"/>
    </row>
    <row r="376" spans="1:34">
      <c r="A376" s="36"/>
      <c r="AA376" s="114"/>
      <c r="AB376" s="114"/>
      <c r="AC376" s="114"/>
      <c r="AF376" s="114"/>
      <c r="AG376" s="114"/>
      <c r="AH376" s="114"/>
    </row>
    <row r="377" spans="1:34">
      <c r="A377" s="36"/>
      <c r="AA377" s="114"/>
      <c r="AB377" s="114"/>
      <c r="AC377" s="114"/>
      <c r="AF377" s="114"/>
      <c r="AG377" s="114"/>
      <c r="AH377" s="114"/>
    </row>
    <row r="378" spans="1:34">
      <c r="A378" s="36"/>
      <c r="AA378" s="114"/>
      <c r="AB378" s="114"/>
      <c r="AC378" s="114"/>
      <c r="AF378" s="114"/>
      <c r="AG378" s="114"/>
      <c r="AH378" s="114"/>
    </row>
    <row r="379" spans="1:34">
      <c r="A379" s="36"/>
      <c r="AA379" s="114"/>
      <c r="AB379" s="114"/>
      <c r="AC379" s="114"/>
      <c r="AF379" s="114"/>
      <c r="AG379" s="114"/>
      <c r="AH379" s="114"/>
    </row>
    <row r="380" spans="1:34">
      <c r="A380" s="36"/>
      <c r="AA380" s="114"/>
      <c r="AB380" s="114"/>
      <c r="AC380" s="114"/>
      <c r="AF380" s="114"/>
      <c r="AG380" s="114"/>
      <c r="AH380" s="114"/>
    </row>
    <row r="381" spans="1:34">
      <c r="A381" s="36"/>
      <c r="AA381" s="114"/>
      <c r="AB381" s="114"/>
      <c r="AC381" s="114"/>
      <c r="AF381" s="114"/>
      <c r="AG381" s="114"/>
      <c r="AH381" s="114"/>
    </row>
    <row r="382" spans="1:34">
      <c r="A382" s="36"/>
      <c r="AA382" s="114"/>
      <c r="AB382" s="114"/>
      <c r="AC382" s="114"/>
      <c r="AF382" s="114"/>
      <c r="AG382" s="114"/>
      <c r="AH382" s="114"/>
    </row>
    <row r="383" spans="1:34">
      <c r="A383" s="36"/>
      <c r="AA383" s="114"/>
      <c r="AB383" s="114"/>
      <c r="AC383" s="114"/>
      <c r="AF383" s="114"/>
      <c r="AG383" s="114"/>
      <c r="AH383" s="114"/>
    </row>
    <row r="384" spans="1:34">
      <c r="A384" s="36"/>
      <c r="AA384" s="114"/>
      <c r="AB384" s="114"/>
      <c r="AC384" s="114"/>
      <c r="AF384" s="114"/>
      <c r="AG384" s="114"/>
      <c r="AH384" s="114"/>
    </row>
    <row r="385" spans="28:29">
      <c r="AB385" s="532"/>
      <c r="AC385" s="114"/>
    </row>
    <row r="386" spans="28:29">
      <c r="AC386" s="114"/>
    </row>
    <row r="387" spans="28:29">
      <c r="AC387" s="114"/>
    </row>
    <row r="388" spans="28:29">
      <c r="AC388" s="114"/>
    </row>
    <row r="389" spans="28:29">
      <c r="AC389" s="533"/>
    </row>
  </sheetData>
  <mergeCells count="19">
    <mergeCell ref="H160:J160"/>
    <mergeCell ref="G6:J6"/>
    <mergeCell ref="A9:J9"/>
    <mergeCell ref="A138:J138"/>
    <mergeCell ref="C159:F159"/>
    <mergeCell ref="H159:J159"/>
    <mergeCell ref="C160:F160"/>
    <mergeCell ref="I158:J158"/>
    <mergeCell ref="A141:J141"/>
    <mergeCell ref="F6:F7"/>
    <mergeCell ref="D6:D7"/>
    <mergeCell ref="A6:A7"/>
    <mergeCell ref="E6:E7"/>
    <mergeCell ref="C6:C7"/>
    <mergeCell ref="AG80:AH80"/>
    <mergeCell ref="Z8:Z9"/>
    <mergeCell ref="Z6:Z7"/>
    <mergeCell ref="A4:J4"/>
    <mergeCell ref="B6:B7"/>
  </mergeCells>
  <phoneticPr fontId="0" type="noConversion"/>
  <pageMargins left="0.59055118110236227" right="0.19685039370078741" top="0.78740157480314965" bottom="0.39370078740157483" header="0.19685039370078741" footer="0.11811023622047245"/>
  <pageSetup paperSize="9" scale="50" orientation="landscape" verticalDpi="300" r:id="rId1"/>
  <headerFooter alignWithMargins="0">
    <oddHeader xml:space="preserve">&amp;C&amp;"Times New Roman,обычный"&amp;16 
&amp;18 5&amp;R&amp;"Times New Roman,обычный"&amp;14 
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4:Z189"/>
  <sheetViews>
    <sheetView view="pageBreakPreview" zoomScale="50" zoomScaleNormal="75" zoomScaleSheetLayoutView="50" workbookViewId="0">
      <selection activeCell="E10" sqref="E10"/>
    </sheetView>
  </sheetViews>
  <sheetFormatPr defaultColWidth="77.85546875" defaultRowHeight="18.75" outlineLevelRow="1"/>
  <cols>
    <col min="1" max="1" width="84" style="31" customWidth="1"/>
    <col min="2" max="2" width="10.7109375" style="34" customWidth="1"/>
    <col min="3" max="5" width="15.85546875" style="34" customWidth="1"/>
    <col min="6" max="10" width="15.85546875" style="31" customWidth="1"/>
    <col min="11" max="11" width="10" style="31" customWidth="1"/>
    <col min="12" max="15" width="11.28515625" style="280" hidden="1" customWidth="1"/>
    <col min="16" max="16" width="12.42578125" style="31" hidden="1" customWidth="1"/>
    <col min="17" max="17" width="13.140625" style="31" hidden="1" customWidth="1"/>
    <col min="18" max="19" width="9.140625" style="31" hidden="1" customWidth="1"/>
    <col min="20" max="255" width="9.140625" style="31" customWidth="1"/>
    <col min="256" max="16384" width="77.85546875" style="31"/>
  </cols>
  <sheetData>
    <row r="4" spans="1:15">
      <c r="A4" s="718" t="s">
        <v>128</v>
      </c>
      <c r="B4" s="718"/>
      <c r="C4" s="718"/>
      <c r="D4" s="718"/>
      <c r="E4" s="718"/>
      <c r="F4" s="718"/>
      <c r="G4" s="718"/>
      <c r="H4" s="718"/>
      <c r="I4" s="718"/>
      <c r="J4" s="718"/>
    </row>
    <row r="5" spans="1:15" hidden="1" outlineLevel="1">
      <c r="A5" s="30"/>
      <c r="B5" s="39"/>
      <c r="C5" s="383">
        <v>2018</v>
      </c>
      <c r="D5" s="383">
        <v>2019</v>
      </c>
      <c r="E5" s="383">
        <v>2019</v>
      </c>
      <c r="F5" s="383">
        <v>2020</v>
      </c>
      <c r="G5" s="30"/>
      <c r="H5" s="30"/>
      <c r="I5" s="30"/>
      <c r="J5" s="30"/>
    </row>
    <row r="6" spans="1:15" ht="38.25" customHeight="1" collapsed="1">
      <c r="A6" s="696" t="s">
        <v>195</v>
      </c>
      <c r="B6" s="719" t="s">
        <v>7</v>
      </c>
      <c r="C6" s="719" t="s">
        <v>17</v>
      </c>
      <c r="D6" s="705" t="s">
        <v>291</v>
      </c>
      <c r="E6" s="720" t="s">
        <v>287</v>
      </c>
      <c r="F6" s="697" t="s">
        <v>9</v>
      </c>
      <c r="G6" s="697" t="s">
        <v>288</v>
      </c>
      <c r="H6" s="697"/>
      <c r="I6" s="697"/>
      <c r="J6" s="697"/>
    </row>
    <row r="7" spans="1:15" ht="50.25" customHeight="1">
      <c r="A7" s="696"/>
      <c r="B7" s="719"/>
      <c r="C7" s="719"/>
      <c r="D7" s="709"/>
      <c r="E7" s="709"/>
      <c r="F7" s="697"/>
      <c r="G7" s="15" t="s">
        <v>154</v>
      </c>
      <c r="H7" s="15" t="s">
        <v>155</v>
      </c>
      <c r="I7" s="15" t="s">
        <v>156</v>
      </c>
      <c r="J7" s="15" t="s">
        <v>61</v>
      </c>
    </row>
    <row r="8" spans="1:15" ht="18" customHeight="1">
      <c r="A8" s="37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</row>
    <row r="9" spans="1:15" ht="24.95" customHeight="1">
      <c r="A9" s="721" t="s">
        <v>124</v>
      </c>
      <c r="B9" s="721"/>
      <c r="C9" s="721"/>
      <c r="D9" s="721"/>
      <c r="E9" s="721"/>
      <c r="F9" s="721"/>
      <c r="G9" s="721"/>
      <c r="H9" s="721"/>
      <c r="I9" s="721"/>
      <c r="J9" s="721"/>
    </row>
    <row r="10" spans="1:15" ht="42.75" customHeight="1">
      <c r="A10" s="32" t="s">
        <v>47</v>
      </c>
      <c r="B10" s="7">
        <v>2000</v>
      </c>
      <c r="C10" s="540">
        <v>486.5</v>
      </c>
      <c r="D10" s="540"/>
      <c r="E10" s="691">
        <v>2159.1</v>
      </c>
      <c r="F10" s="94"/>
      <c r="G10" s="94"/>
      <c r="H10" s="94"/>
      <c r="I10" s="94"/>
      <c r="J10" s="94"/>
    </row>
    <row r="11" spans="1:15" ht="20.100000000000001" customHeight="1">
      <c r="A11" s="32" t="s">
        <v>266</v>
      </c>
      <c r="B11" s="7">
        <v>2010</v>
      </c>
      <c r="C11" s="98"/>
      <c r="D11" s="98"/>
      <c r="E11" s="98"/>
      <c r="F11" s="98"/>
      <c r="G11" s="99"/>
      <c r="H11" s="99"/>
      <c r="I11" s="99"/>
      <c r="J11" s="99"/>
    </row>
    <row r="12" spans="1:15" ht="20.100000000000001" customHeight="1">
      <c r="A12" s="8" t="s">
        <v>157</v>
      </c>
      <c r="B12" s="7">
        <v>2020</v>
      </c>
      <c r="C12" s="98"/>
      <c r="D12" s="98"/>
      <c r="E12" s="98"/>
      <c r="F12" s="98"/>
      <c r="G12" s="99"/>
      <c r="H12" s="99"/>
      <c r="I12" s="99"/>
      <c r="J12" s="99"/>
    </row>
    <row r="13" spans="1:15" s="33" customFormat="1" ht="20.100000000000001" customHeight="1">
      <c r="A13" s="32" t="s">
        <v>58</v>
      </c>
      <c r="B13" s="7">
        <v>2030</v>
      </c>
      <c r="C13" s="98"/>
      <c r="D13" s="98"/>
      <c r="E13" s="98"/>
      <c r="F13" s="98"/>
      <c r="G13" s="98"/>
      <c r="H13" s="98"/>
      <c r="I13" s="98"/>
      <c r="J13" s="98"/>
      <c r="L13" s="281"/>
      <c r="M13" s="281"/>
      <c r="N13" s="281"/>
      <c r="O13" s="281"/>
    </row>
    <row r="14" spans="1:15" ht="20.100000000000001" customHeight="1">
      <c r="A14" s="32" t="s">
        <v>112</v>
      </c>
      <c r="B14" s="7">
        <v>2031</v>
      </c>
      <c r="C14" s="98"/>
      <c r="D14" s="98"/>
      <c r="E14" s="98"/>
      <c r="F14" s="98"/>
      <c r="G14" s="98"/>
      <c r="H14" s="98"/>
      <c r="I14" s="98"/>
      <c r="J14" s="98"/>
    </row>
    <row r="15" spans="1:15" ht="20.100000000000001" customHeight="1">
      <c r="A15" s="32" t="s">
        <v>12</v>
      </c>
      <c r="B15" s="7">
        <v>2040</v>
      </c>
      <c r="C15" s="100"/>
      <c r="D15" s="100"/>
      <c r="E15" s="100"/>
      <c r="F15" s="98"/>
      <c r="G15" s="98"/>
      <c r="H15" s="98"/>
      <c r="I15" s="98"/>
      <c r="J15" s="98"/>
    </row>
    <row r="16" spans="1:15" ht="20.100000000000001" customHeight="1">
      <c r="A16" s="32" t="s">
        <v>98</v>
      </c>
      <c r="B16" s="7">
        <v>2050</v>
      </c>
      <c r="C16" s="98"/>
      <c r="D16" s="98"/>
      <c r="E16" s="98"/>
      <c r="F16" s="98"/>
      <c r="G16" s="98"/>
      <c r="H16" s="98"/>
      <c r="I16" s="98"/>
      <c r="J16" s="98"/>
    </row>
    <row r="17" spans="1:26" ht="20.100000000000001" customHeight="1">
      <c r="A17" s="32" t="s">
        <v>299</v>
      </c>
      <c r="B17" s="7">
        <v>2060</v>
      </c>
      <c r="C17" s="98"/>
      <c r="D17" s="98"/>
      <c r="E17" s="98"/>
      <c r="F17" s="98"/>
      <c r="G17" s="98"/>
      <c r="H17" s="98"/>
      <c r="I17" s="98"/>
      <c r="J17" s="98"/>
    </row>
    <row r="18" spans="1:26" ht="42.75" customHeight="1">
      <c r="A18" s="32" t="s">
        <v>48</v>
      </c>
      <c r="B18" s="7">
        <v>2070</v>
      </c>
      <c r="C18" s="116">
        <v>2159.1</v>
      </c>
      <c r="D18" s="98"/>
      <c r="E18" s="98"/>
      <c r="F18" s="98"/>
      <c r="G18" s="98"/>
      <c r="H18" s="98"/>
      <c r="I18" s="98"/>
      <c r="J18" s="98"/>
    </row>
    <row r="19" spans="1:26" ht="20.100000000000001" customHeight="1">
      <c r="A19" s="721" t="s">
        <v>125</v>
      </c>
      <c r="B19" s="721"/>
      <c r="C19" s="721"/>
      <c r="D19" s="721"/>
      <c r="E19" s="721"/>
      <c r="F19" s="721"/>
      <c r="G19" s="721"/>
      <c r="H19" s="721"/>
      <c r="I19" s="721"/>
      <c r="J19" s="721"/>
    </row>
    <row r="20" spans="1:26" ht="20.100000000000001" customHeight="1">
      <c r="A20" s="32" t="s">
        <v>266</v>
      </c>
      <c r="B20" s="7">
        <v>2100</v>
      </c>
      <c r="C20" s="98"/>
      <c r="D20" s="98"/>
      <c r="E20" s="98"/>
      <c r="F20" s="98"/>
      <c r="G20" s="99"/>
      <c r="H20" s="99"/>
      <c r="I20" s="99"/>
      <c r="J20" s="99"/>
    </row>
    <row r="21" spans="1:26" s="33" customFormat="1" ht="20.100000000000001" customHeight="1">
      <c r="A21" s="32" t="s">
        <v>127</v>
      </c>
      <c r="B21" s="38">
        <v>2110</v>
      </c>
      <c r="C21" s="98"/>
      <c r="D21" s="116"/>
      <c r="E21" s="116"/>
      <c r="F21" s="116"/>
      <c r="G21" s="116"/>
      <c r="H21" s="116"/>
      <c r="I21" s="116"/>
      <c r="J21" s="116"/>
      <c r="L21" s="557" t="s">
        <v>485</v>
      </c>
      <c r="M21" s="558"/>
      <c r="N21" s="558"/>
      <c r="O21" s="558"/>
    </row>
    <row r="22" spans="1:26" ht="42.75" customHeight="1">
      <c r="A22" s="32" t="s">
        <v>232</v>
      </c>
      <c r="B22" s="38">
        <v>2120</v>
      </c>
      <c r="C22" s="116"/>
      <c r="D22" s="116"/>
      <c r="E22" s="116">
        <f>'1.Фінансовий результат'!E125-E32</f>
        <v>30</v>
      </c>
      <c r="F22" s="116">
        <f>'1.Фінансовий результат'!F125-F32</f>
        <v>79.599999999999994</v>
      </c>
      <c r="G22" s="116">
        <f>'1.Фінансовий результат'!G125-G32</f>
        <v>19.899999999999999</v>
      </c>
      <c r="H22" s="116">
        <f>'1.Фінансовий результат'!H125-H32</f>
        <v>19.899999999999999</v>
      </c>
      <c r="I22" s="116">
        <f>'1.Фінансовий результат'!I125-I32</f>
        <v>19.899999999999999</v>
      </c>
      <c r="J22" s="116">
        <f>'1.Фінансовий результат'!J125-J32</f>
        <v>19.899999999999999</v>
      </c>
      <c r="L22" s="559">
        <f>E22+E32</f>
        <v>34.4</v>
      </c>
      <c r="M22" s="560">
        <f>'1.Фінансовий результат'!E125</f>
        <v>34.4</v>
      </c>
      <c r="N22" s="560">
        <f>L22-M22</f>
        <v>0</v>
      </c>
      <c r="O22" s="558"/>
    </row>
    <row r="23" spans="1:26" ht="42.75" customHeight="1">
      <c r="A23" s="32" t="s">
        <v>233</v>
      </c>
      <c r="B23" s="38">
        <v>2130</v>
      </c>
      <c r="C23" s="116"/>
      <c r="D23" s="116"/>
      <c r="E23" s="116"/>
      <c r="F23" s="116"/>
      <c r="G23" s="117"/>
      <c r="H23" s="117"/>
      <c r="I23" s="117"/>
      <c r="J23" s="117"/>
    </row>
    <row r="24" spans="1:26" s="35" customFormat="1" ht="42.75" customHeight="1">
      <c r="A24" s="44" t="s">
        <v>187</v>
      </c>
      <c r="B24" s="59">
        <v>2140</v>
      </c>
      <c r="C24" s="94">
        <f>C25+C26+C27+C28+C29+C32+C33</f>
        <v>2666.3</v>
      </c>
      <c r="D24" s="94">
        <f t="shared" ref="D24:J24" si="0">D25+D26+D27+D28+D29+D32+D33</f>
        <v>5497.7999999999993</v>
      </c>
      <c r="E24" s="94">
        <f t="shared" si="0"/>
        <v>4721.7</v>
      </c>
      <c r="F24" s="94">
        <f t="shared" si="0"/>
        <v>5497.7999999999993</v>
      </c>
      <c r="G24" s="94">
        <f t="shared" si="0"/>
        <v>1208.6999999999998</v>
      </c>
      <c r="H24" s="94">
        <f t="shared" si="0"/>
        <v>1429.6999999999998</v>
      </c>
      <c r="I24" s="94">
        <f t="shared" si="0"/>
        <v>1429.6999999999998</v>
      </c>
      <c r="J24" s="94">
        <f t="shared" si="0"/>
        <v>1429.6999999999998</v>
      </c>
      <c r="L24" s="720" t="s">
        <v>287</v>
      </c>
      <c r="M24" s="697" t="s">
        <v>9</v>
      </c>
      <c r="N24" s="697" t="s">
        <v>288</v>
      </c>
      <c r="O24" s="697"/>
      <c r="P24" s="697"/>
      <c r="Q24" s="697"/>
    </row>
    <row r="25" spans="1:26" ht="20.100000000000001" customHeight="1">
      <c r="A25" s="287" t="s">
        <v>75</v>
      </c>
      <c r="B25" s="288">
        <v>2141</v>
      </c>
      <c r="C25" s="116"/>
      <c r="D25" s="116"/>
      <c r="E25" s="116"/>
      <c r="F25" s="116"/>
      <c r="G25" s="117"/>
      <c r="H25" s="117"/>
      <c r="I25" s="117"/>
      <c r="J25" s="117"/>
      <c r="L25" s="709"/>
      <c r="M25" s="697"/>
      <c r="N25" s="539" t="s">
        <v>154</v>
      </c>
      <c r="O25" s="539" t="s">
        <v>155</v>
      </c>
      <c r="P25" s="539" t="s">
        <v>156</v>
      </c>
      <c r="Q25" s="539" t="s">
        <v>61</v>
      </c>
    </row>
    <row r="26" spans="1:26" ht="20.100000000000001" customHeight="1">
      <c r="A26" s="287" t="s">
        <v>91</v>
      </c>
      <c r="B26" s="288">
        <v>2142</v>
      </c>
      <c r="C26" s="116"/>
      <c r="D26" s="116"/>
      <c r="E26" s="116"/>
      <c r="F26" s="116"/>
      <c r="G26" s="117"/>
      <c r="H26" s="117"/>
      <c r="I26" s="117"/>
      <c r="J26" s="117"/>
      <c r="K26" s="118"/>
      <c r="L26" s="282"/>
    </row>
    <row r="27" spans="1:26" ht="20.100000000000001" customHeight="1">
      <c r="A27" s="287" t="s">
        <v>87</v>
      </c>
      <c r="B27" s="288">
        <v>2143</v>
      </c>
      <c r="C27" s="116"/>
      <c r="D27" s="116"/>
      <c r="E27" s="116"/>
      <c r="F27" s="116"/>
      <c r="G27" s="117"/>
      <c r="H27" s="117"/>
      <c r="I27" s="117"/>
      <c r="J27" s="117"/>
      <c r="K27" s="118"/>
      <c r="L27" s="280">
        <f>'1.Фінансовий результат'!E145</f>
        <v>22463.1</v>
      </c>
      <c r="M27" s="280">
        <f>SUM(N27:Q27)</f>
        <v>24579.1</v>
      </c>
      <c r="N27" s="282">
        <f>'1.Фінансовий результат'!G38+'1.Фінансовий результат'!G82</f>
        <v>6094.4</v>
      </c>
      <c r="O27" s="282">
        <f>'1.Фінансовий результат'!H38+'1.Фінансовий результат'!H82</f>
        <v>6118.4</v>
      </c>
      <c r="P27" s="282">
        <f>'1.Фінансовий результат'!I38+'1.Фінансовий результат'!I82</f>
        <v>6170.3</v>
      </c>
      <c r="Q27" s="282">
        <f>'1.Фінансовий результат'!J38+'1.Фінансовий результат'!J82</f>
        <v>6196</v>
      </c>
      <c r="R27" s="118"/>
      <c r="S27" s="118"/>
      <c r="T27" s="118"/>
      <c r="U27" s="118"/>
      <c r="V27" s="118"/>
      <c r="W27" s="118"/>
      <c r="X27" s="118"/>
      <c r="Y27" s="118"/>
      <c r="Z27" s="118"/>
    </row>
    <row r="28" spans="1:26" ht="20.100000000000001" customHeight="1">
      <c r="A28" s="287" t="s">
        <v>73</v>
      </c>
      <c r="B28" s="288">
        <v>2144</v>
      </c>
      <c r="C28" s="116">
        <v>2658.4</v>
      </c>
      <c r="D28" s="116">
        <v>5493.4</v>
      </c>
      <c r="E28" s="116">
        <v>4717.3</v>
      </c>
      <c r="F28" s="116">
        <f>SUM(G28:J28)</f>
        <v>5493.4</v>
      </c>
      <c r="G28" s="117">
        <v>1207.5999999999999</v>
      </c>
      <c r="H28" s="117">
        <v>1428.6</v>
      </c>
      <c r="I28" s="117">
        <v>1428.6</v>
      </c>
      <c r="J28" s="117">
        <v>1428.6</v>
      </c>
      <c r="K28" s="118"/>
      <c r="L28" s="280">
        <f>L27*21%</f>
        <v>4717.2509999999993</v>
      </c>
      <c r="M28" s="280">
        <f>SUM(N28:Q28)</f>
        <v>5161.610999999999</v>
      </c>
      <c r="N28" s="282">
        <f>N27*21%</f>
        <v>1279.8239999999998</v>
      </c>
      <c r="O28" s="282">
        <f t="shared" ref="O28:Q28" si="1">O27*21%</f>
        <v>1284.8639999999998</v>
      </c>
      <c r="P28" s="282">
        <f t="shared" si="1"/>
        <v>1295.7629999999999</v>
      </c>
      <c r="Q28" s="282">
        <f t="shared" si="1"/>
        <v>1301.1599999999999</v>
      </c>
    </row>
    <row r="29" spans="1:26" s="33" customFormat="1" ht="20.100000000000001" customHeight="1">
      <c r="A29" s="287" t="s">
        <v>141</v>
      </c>
      <c r="B29" s="288">
        <v>2145</v>
      </c>
      <c r="C29" s="116"/>
      <c r="D29" s="116"/>
      <c r="E29" s="116"/>
      <c r="F29" s="116"/>
      <c r="G29" s="116"/>
      <c r="H29" s="116"/>
      <c r="I29" s="116"/>
      <c r="J29" s="116"/>
      <c r="K29" s="119"/>
      <c r="N29" s="283"/>
      <c r="O29" s="281"/>
      <c r="P29" s="281"/>
      <c r="Q29" s="281"/>
    </row>
    <row r="30" spans="1:26" ht="42.75" customHeight="1">
      <c r="A30" s="287" t="s">
        <v>192</v>
      </c>
      <c r="B30" s="288" t="s">
        <v>177</v>
      </c>
      <c r="C30" s="116"/>
      <c r="D30" s="116"/>
      <c r="E30" s="116"/>
      <c r="F30" s="116"/>
      <c r="G30" s="117"/>
      <c r="H30" s="117"/>
      <c r="I30" s="117"/>
      <c r="J30" s="117"/>
      <c r="K30" s="118"/>
      <c r="N30" s="282"/>
      <c r="P30" s="280"/>
      <c r="Q30" s="280"/>
    </row>
    <row r="31" spans="1:26" ht="20.100000000000001" customHeight="1">
      <c r="A31" s="287" t="s">
        <v>13</v>
      </c>
      <c r="B31" s="288" t="s">
        <v>178</v>
      </c>
      <c r="C31" s="116"/>
      <c r="D31" s="116"/>
      <c r="E31" s="116"/>
      <c r="F31" s="116"/>
      <c r="G31" s="117"/>
      <c r="H31" s="117"/>
      <c r="I31" s="117"/>
      <c r="J31" s="117"/>
      <c r="K31" s="118"/>
      <c r="N31" s="282"/>
      <c r="P31" s="280"/>
      <c r="Q31" s="280"/>
    </row>
    <row r="32" spans="1:26" s="33" customFormat="1" ht="20.100000000000001" customHeight="1">
      <c r="A32" s="287" t="s">
        <v>296</v>
      </c>
      <c r="B32" s="288">
        <v>2146</v>
      </c>
      <c r="C32" s="116">
        <v>7.9</v>
      </c>
      <c r="D32" s="116">
        <v>4.4000000000000004</v>
      </c>
      <c r="E32" s="116">
        <v>4.4000000000000004</v>
      </c>
      <c r="F32" s="116">
        <f>SUM(G32:J32)</f>
        <v>4.4000000000000004</v>
      </c>
      <c r="G32" s="116">
        <v>1.1000000000000001</v>
      </c>
      <c r="H32" s="116">
        <v>1.1000000000000001</v>
      </c>
      <c r="I32" s="116">
        <v>1.1000000000000001</v>
      </c>
      <c r="J32" s="116">
        <v>1.1000000000000001</v>
      </c>
      <c r="K32" s="119"/>
      <c r="L32" s="720" t="s">
        <v>287</v>
      </c>
      <c r="M32" s="697" t="s">
        <v>9</v>
      </c>
      <c r="N32" s="283"/>
      <c r="O32" s="281"/>
      <c r="P32" s="281"/>
      <c r="Q32" s="281"/>
    </row>
    <row r="33" spans="1:17" ht="20.100000000000001" customHeight="1">
      <c r="A33" s="32" t="s">
        <v>297</v>
      </c>
      <c r="B33" s="38">
        <v>2147</v>
      </c>
      <c r="C33" s="116"/>
      <c r="D33" s="116"/>
      <c r="E33" s="116"/>
      <c r="F33" s="116"/>
      <c r="G33" s="116"/>
      <c r="H33" s="116"/>
      <c r="I33" s="116"/>
      <c r="J33" s="116"/>
      <c r="K33" s="118"/>
      <c r="L33" s="709"/>
      <c r="M33" s="697"/>
      <c r="P33" s="280"/>
      <c r="Q33" s="280"/>
    </row>
    <row r="34" spans="1:17" s="33" customFormat="1" ht="24" customHeight="1">
      <c r="A34" s="287" t="s">
        <v>74</v>
      </c>
      <c r="B34" s="288">
        <v>2150</v>
      </c>
      <c r="C34" s="116">
        <v>2584.1999999999998</v>
      </c>
      <c r="D34" s="116">
        <v>4959.7</v>
      </c>
      <c r="E34" s="116">
        <v>4260.6000000000004</v>
      </c>
      <c r="F34" s="116">
        <f t="shared" ref="F34" si="2">SUM(G34:J34)</f>
        <v>4661.9000000000005</v>
      </c>
      <c r="G34" s="116">
        <f>'1.Фінансовий результат'!G146</f>
        <v>1155.8</v>
      </c>
      <c r="H34" s="116">
        <f>'1.Фінансовий результат'!H146</f>
        <v>1160.5</v>
      </c>
      <c r="I34" s="116">
        <f>'1.Фінансовий результат'!I146</f>
        <v>1170.4000000000001</v>
      </c>
      <c r="J34" s="116">
        <f>'1.Фінансовий результат'!J146</f>
        <v>1175.2</v>
      </c>
      <c r="K34" s="119"/>
      <c r="L34" s="33">
        <f>'1.Фінансовий результат'!E146</f>
        <v>4260.6000000000004</v>
      </c>
      <c r="M34" s="281">
        <f>N34+O34+P34+Q34</f>
        <v>4661.9000000000005</v>
      </c>
      <c r="N34" s="281">
        <f>'1.Фінансовий результат'!G39+'1.Фінансовий результат'!G83</f>
        <v>1155.8</v>
      </c>
      <c r="O34" s="281">
        <f>'1.Фінансовий результат'!H39+'1.Фінансовий результат'!H83</f>
        <v>1160.5</v>
      </c>
      <c r="P34" s="281">
        <f>'1.Фінансовий результат'!I39+'1.Фінансовий результат'!I83</f>
        <v>1170.4000000000001</v>
      </c>
      <c r="Q34" s="281">
        <f>'1.Фінансовий результат'!J39+'1.Фінансовий результат'!J83</f>
        <v>1175.2</v>
      </c>
    </row>
    <row r="35" spans="1:17" s="85" customFormat="1" ht="21.75" customHeight="1">
      <c r="A35" s="83" t="s">
        <v>197</v>
      </c>
      <c r="B35" s="84">
        <v>2200</v>
      </c>
      <c r="C35" s="95">
        <f>C20+C21+C22+C24+C34</f>
        <v>5250.5</v>
      </c>
      <c r="D35" s="95">
        <f t="shared" ref="D35:J35" si="3">D20+D21+D22+D24+D34</f>
        <v>10457.5</v>
      </c>
      <c r="E35" s="95">
        <f t="shared" si="3"/>
        <v>9012.2999999999993</v>
      </c>
      <c r="F35" s="95">
        <f t="shared" si="3"/>
        <v>10239.299999999999</v>
      </c>
      <c r="G35" s="95">
        <f>G20+G21+G22+G24+G34</f>
        <v>2384.3999999999996</v>
      </c>
      <c r="H35" s="95">
        <f t="shared" si="3"/>
        <v>2610.1</v>
      </c>
      <c r="I35" s="95">
        <f t="shared" si="3"/>
        <v>2620</v>
      </c>
      <c r="J35" s="95">
        <f t="shared" si="3"/>
        <v>2624.8</v>
      </c>
      <c r="N35" s="284"/>
      <c r="O35" s="284"/>
      <c r="P35" s="284"/>
      <c r="Q35" s="284"/>
    </row>
    <row r="36" spans="1:17" s="33" customFormat="1" ht="20.100000000000001" customHeight="1">
      <c r="A36" s="49"/>
      <c r="B36" s="34"/>
      <c r="C36" s="47"/>
      <c r="D36" s="47"/>
      <c r="E36" s="47"/>
      <c r="F36" s="47"/>
      <c r="G36" s="48"/>
      <c r="H36" s="48"/>
      <c r="I36" s="48"/>
      <c r="J36" s="48"/>
      <c r="L36" s="281"/>
      <c r="M36" s="281"/>
      <c r="N36" s="281"/>
      <c r="O36" s="281"/>
    </row>
    <row r="37" spans="1:17" s="33" customFormat="1" ht="29.25" customHeight="1">
      <c r="A37" s="49"/>
      <c r="B37" s="34"/>
      <c r="C37" s="47"/>
      <c r="D37" s="47"/>
      <c r="E37" s="47"/>
      <c r="F37" s="47"/>
      <c r="G37" s="48"/>
      <c r="H37" s="48"/>
      <c r="I37" s="694" t="s">
        <v>332</v>
      </c>
      <c r="J37" s="694"/>
      <c r="L37" s="281"/>
      <c r="M37" s="281"/>
      <c r="N37" s="281"/>
      <c r="O37" s="281"/>
    </row>
    <row r="38" spans="1:17" s="3" customFormat="1" ht="21" customHeight="1">
      <c r="A38" s="43" t="s">
        <v>206</v>
      </c>
      <c r="B38" s="1"/>
      <c r="C38" s="722" t="s">
        <v>92</v>
      </c>
      <c r="D38" s="722"/>
      <c r="E38" s="722"/>
      <c r="F38" s="723"/>
      <c r="G38" s="14"/>
      <c r="H38" s="700" t="s">
        <v>338</v>
      </c>
      <c r="I38" s="700"/>
      <c r="J38" s="700"/>
      <c r="L38" s="285"/>
      <c r="M38" s="285"/>
      <c r="N38" s="285"/>
      <c r="O38" s="285"/>
    </row>
    <row r="39" spans="1:17" s="2" customFormat="1" ht="20.100000000000001" customHeight="1">
      <c r="A39" s="50" t="s">
        <v>207</v>
      </c>
      <c r="B39" s="3"/>
      <c r="C39" s="724" t="s">
        <v>205</v>
      </c>
      <c r="D39" s="724"/>
      <c r="E39" s="724"/>
      <c r="F39" s="724"/>
      <c r="G39" s="23"/>
      <c r="H39" s="710" t="s">
        <v>88</v>
      </c>
      <c r="I39" s="710"/>
      <c r="J39" s="710"/>
      <c r="L39" s="206"/>
      <c r="M39" s="206"/>
      <c r="N39" s="206"/>
      <c r="O39" s="206"/>
    </row>
    <row r="40" spans="1:17" s="34" customFormat="1">
      <c r="A40" s="46"/>
      <c r="F40" s="31"/>
      <c r="G40" s="31"/>
      <c r="H40" s="31"/>
      <c r="I40" s="31"/>
      <c r="J40" s="31"/>
      <c r="K40" s="31"/>
      <c r="L40" s="280"/>
      <c r="M40" s="286"/>
      <c r="N40" s="286"/>
      <c r="O40" s="286"/>
    </row>
    <row r="41" spans="1:17" s="34" customFormat="1">
      <c r="A41" s="46"/>
      <c r="F41" s="31"/>
      <c r="G41" s="31"/>
      <c r="H41" s="31"/>
      <c r="I41" s="31"/>
      <c r="J41" s="31"/>
      <c r="K41" s="31"/>
      <c r="L41" s="280"/>
      <c r="M41" s="286"/>
      <c r="N41" s="286"/>
      <c r="O41" s="286"/>
    </row>
    <row r="42" spans="1:17" s="34" customFormat="1">
      <c r="A42" s="46"/>
      <c r="F42" s="31"/>
      <c r="G42" s="31"/>
      <c r="H42" s="31"/>
      <c r="I42" s="31"/>
      <c r="J42" s="31"/>
      <c r="K42" s="31"/>
      <c r="L42" s="280"/>
      <c r="M42" s="286"/>
      <c r="N42" s="286"/>
      <c r="O42" s="286"/>
    </row>
    <row r="43" spans="1:17" s="34" customFormat="1">
      <c r="A43" s="46"/>
      <c r="F43" s="31"/>
      <c r="G43" s="31"/>
      <c r="H43" s="31"/>
      <c r="I43" s="31"/>
      <c r="J43" s="31"/>
      <c r="K43" s="31"/>
      <c r="L43" s="280"/>
      <c r="M43" s="286"/>
      <c r="N43" s="286"/>
      <c r="O43" s="286"/>
    </row>
    <row r="44" spans="1:17" s="34" customFormat="1">
      <c r="A44" s="46"/>
      <c r="F44" s="31"/>
      <c r="G44" s="31"/>
      <c r="H44" s="31"/>
      <c r="I44" s="31"/>
      <c r="J44" s="31"/>
      <c r="K44" s="31"/>
      <c r="L44" s="280"/>
      <c r="M44" s="286"/>
      <c r="N44" s="286"/>
      <c r="O44" s="286"/>
    </row>
    <row r="45" spans="1:17" s="34" customFormat="1">
      <c r="A45" s="46"/>
      <c r="F45" s="31"/>
      <c r="G45" s="31"/>
      <c r="H45" s="31"/>
      <c r="I45" s="31"/>
      <c r="J45" s="31"/>
      <c r="K45" s="31"/>
      <c r="L45" s="280"/>
      <c r="M45" s="286"/>
      <c r="N45" s="286"/>
      <c r="O45" s="286"/>
    </row>
    <row r="46" spans="1:17" s="34" customFormat="1">
      <c r="A46" s="46"/>
      <c r="F46" s="31"/>
      <c r="G46" s="31"/>
      <c r="H46" s="31"/>
      <c r="I46" s="31"/>
      <c r="J46" s="31"/>
      <c r="K46" s="31"/>
      <c r="L46" s="280"/>
      <c r="M46" s="286"/>
      <c r="N46" s="286"/>
      <c r="O46" s="286"/>
    </row>
    <row r="47" spans="1:17" s="34" customFormat="1">
      <c r="A47" s="46"/>
      <c r="F47" s="31"/>
      <c r="G47" s="31"/>
      <c r="H47" s="31"/>
      <c r="I47" s="31"/>
      <c r="J47" s="31"/>
      <c r="K47" s="31"/>
      <c r="L47" s="280"/>
      <c r="M47" s="286"/>
      <c r="N47" s="286"/>
      <c r="O47" s="286"/>
    </row>
    <row r="48" spans="1:17" s="34" customFormat="1">
      <c r="A48" s="46"/>
      <c r="F48" s="31"/>
      <c r="G48" s="31"/>
      <c r="H48" s="31"/>
      <c r="I48" s="31"/>
      <c r="J48" s="31"/>
      <c r="K48" s="31"/>
      <c r="L48" s="280"/>
      <c r="M48" s="286"/>
      <c r="N48" s="286"/>
      <c r="O48" s="286"/>
    </row>
    <row r="49" spans="1:15" s="34" customFormat="1">
      <c r="A49" s="46"/>
      <c r="F49" s="31"/>
      <c r="G49" s="31"/>
      <c r="H49" s="31"/>
      <c r="I49" s="31"/>
      <c r="J49" s="31"/>
      <c r="K49" s="31"/>
      <c r="L49" s="280"/>
      <c r="M49" s="286"/>
      <c r="N49" s="286"/>
      <c r="O49" s="286"/>
    </row>
    <row r="50" spans="1:15" s="34" customFormat="1">
      <c r="A50" s="46"/>
      <c r="F50" s="31"/>
      <c r="G50" s="31"/>
      <c r="H50" s="31"/>
      <c r="I50" s="31"/>
      <c r="J50" s="31"/>
      <c r="K50" s="31"/>
      <c r="L50" s="280"/>
      <c r="M50" s="286"/>
      <c r="N50" s="286"/>
      <c r="O50" s="286"/>
    </row>
    <row r="51" spans="1:15" s="34" customFormat="1">
      <c r="A51" s="46"/>
      <c r="F51" s="31"/>
      <c r="G51" s="31"/>
      <c r="H51" s="31"/>
      <c r="I51" s="31"/>
      <c r="J51" s="31"/>
      <c r="K51" s="31"/>
      <c r="L51" s="280"/>
      <c r="M51" s="286"/>
      <c r="N51" s="286"/>
      <c r="O51" s="286"/>
    </row>
    <row r="52" spans="1:15" s="34" customFormat="1">
      <c r="A52" s="46"/>
      <c r="F52" s="31"/>
      <c r="G52" s="31"/>
      <c r="H52" s="31"/>
      <c r="I52" s="31"/>
      <c r="J52" s="31"/>
      <c r="K52" s="31"/>
      <c r="L52" s="280"/>
      <c r="M52" s="286"/>
      <c r="N52" s="286"/>
      <c r="O52" s="286"/>
    </row>
    <row r="53" spans="1:15" s="34" customFormat="1">
      <c r="A53" s="46"/>
      <c r="F53" s="31"/>
      <c r="G53" s="31"/>
      <c r="H53" s="31"/>
      <c r="I53" s="31"/>
      <c r="J53" s="31"/>
      <c r="K53" s="31"/>
      <c r="L53" s="280"/>
      <c r="M53" s="286"/>
      <c r="N53" s="286"/>
      <c r="O53" s="286"/>
    </row>
    <row r="54" spans="1:15" s="34" customFormat="1">
      <c r="A54" s="46"/>
      <c r="F54" s="31"/>
      <c r="G54" s="31"/>
      <c r="H54" s="31"/>
      <c r="I54" s="31"/>
      <c r="J54" s="31"/>
      <c r="K54" s="31"/>
      <c r="L54" s="280"/>
      <c r="M54" s="286"/>
      <c r="N54" s="286"/>
      <c r="O54" s="286"/>
    </row>
    <row r="55" spans="1:15" s="34" customFormat="1">
      <c r="A55" s="46"/>
      <c r="F55" s="31"/>
      <c r="G55" s="31"/>
      <c r="H55" s="31"/>
      <c r="I55" s="31"/>
      <c r="J55" s="31"/>
      <c r="K55" s="31"/>
      <c r="L55" s="280"/>
      <c r="M55" s="286"/>
      <c r="N55" s="286"/>
      <c r="O55" s="286"/>
    </row>
    <row r="56" spans="1:15" s="34" customFormat="1">
      <c r="A56" s="46"/>
      <c r="F56" s="31"/>
      <c r="G56" s="31"/>
      <c r="H56" s="31"/>
      <c r="I56" s="31"/>
      <c r="J56" s="31"/>
      <c r="K56" s="31"/>
      <c r="L56" s="280"/>
      <c r="M56" s="286"/>
      <c r="N56" s="286"/>
      <c r="O56" s="286"/>
    </row>
    <row r="57" spans="1:15" s="34" customFormat="1">
      <c r="A57" s="46"/>
      <c r="F57" s="31"/>
      <c r="G57" s="31"/>
      <c r="H57" s="31"/>
      <c r="I57" s="31"/>
      <c r="J57" s="31"/>
      <c r="K57" s="31"/>
      <c r="L57" s="280"/>
      <c r="M57" s="286"/>
      <c r="N57" s="286"/>
      <c r="O57" s="286"/>
    </row>
    <row r="58" spans="1:15" s="34" customFormat="1">
      <c r="A58" s="46"/>
      <c r="F58" s="31"/>
      <c r="G58" s="31"/>
      <c r="H58" s="31"/>
      <c r="I58" s="31"/>
      <c r="J58" s="31"/>
      <c r="K58" s="31"/>
      <c r="L58" s="280"/>
      <c r="M58" s="286"/>
      <c r="N58" s="286"/>
      <c r="O58" s="286"/>
    </row>
    <row r="59" spans="1:15" s="34" customFormat="1">
      <c r="A59" s="46"/>
      <c r="F59" s="31"/>
      <c r="G59" s="31"/>
      <c r="H59" s="31"/>
      <c r="I59" s="31"/>
      <c r="J59" s="31"/>
      <c r="K59" s="31"/>
      <c r="L59" s="280"/>
      <c r="M59" s="286"/>
      <c r="N59" s="286"/>
      <c r="O59" s="286"/>
    </row>
    <row r="60" spans="1:15" s="34" customFormat="1">
      <c r="A60" s="46"/>
      <c r="F60" s="31"/>
      <c r="G60" s="31"/>
      <c r="H60" s="31"/>
      <c r="I60" s="31"/>
      <c r="J60" s="31"/>
      <c r="K60" s="31"/>
      <c r="L60" s="280"/>
      <c r="M60" s="286"/>
      <c r="N60" s="286"/>
      <c r="O60" s="286"/>
    </row>
    <row r="61" spans="1:15" s="34" customFormat="1">
      <c r="A61" s="46"/>
      <c r="F61" s="31"/>
      <c r="G61" s="31"/>
      <c r="H61" s="31"/>
      <c r="I61" s="31"/>
      <c r="J61" s="31"/>
      <c r="K61" s="31"/>
      <c r="L61" s="280"/>
      <c r="M61" s="286"/>
      <c r="N61" s="286"/>
      <c r="O61" s="286"/>
    </row>
    <row r="62" spans="1:15" s="34" customFormat="1">
      <c r="A62" s="46"/>
      <c r="F62" s="31"/>
      <c r="G62" s="31"/>
      <c r="H62" s="31"/>
      <c r="I62" s="31"/>
      <c r="J62" s="31"/>
      <c r="K62" s="31"/>
      <c r="L62" s="280"/>
      <c r="M62" s="286"/>
      <c r="N62" s="286"/>
      <c r="O62" s="286"/>
    </row>
    <row r="63" spans="1:15" s="34" customFormat="1">
      <c r="A63" s="46"/>
      <c r="F63" s="31"/>
      <c r="G63" s="31"/>
      <c r="H63" s="31"/>
      <c r="I63" s="31"/>
      <c r="J63" s="31"/>
      <c r="K63" s="31"/>
      <c r="L63" s="280"/>
      <c r="M63" s="286"/>
      <c r="N63" s="286"/>
      <c r="O63" s="286"/>
    </row>
    <row r="64" spans="1:15" s="34" customFormat="1">
      <c r="A64" s="46"/>
      <c r="F64" s="31"/>
      <c r="G64" s="31"/>
      <c r="H64" s="31"/>
      <c r="I64" s="31"/>
      <c r="J64" s="31"/>
      <c r="K64" s="31"/>
      <c r="L64" s="280"/>
      <c r="M64" s="286"/>
      <c r="N64" s="286"/>
      <c r="O64" s="286"/>
    </row>
    <row r="65" spans="1:15" s="34" customFormat="1">
      <c r="A65" s="46"/>
      <c r="F65" s="31"/>
      <c r="G65" s="31"/>
      <c r="H65" s="31"/>
      <c r="I65" s="31"/>
      <c r="J65" s="31"/>
      <c r="K65" s="31"/>
      <c r="L65" s="280"/>
      <c r="M65" s="286"/>
      <c r="N65" s="286"/>
      <c r="O65" s="286"/>
    </row>
    <row r="66" spans="1:15" s="34" customFormat="1">
      <c r="A66" s="46"/>
      <c r="F66" s="31"/>
      <c r="G66" s="31"/>
      <c r="H66" s="31"/>
      <c r="I66" s="31"/>
      <c r="J66" s="31"/>
      <c r="K66" s="31"/>
      <c r="L66" s="280"/>
      <c r="M66" s="286"/>
      <c r="N66" s="286"/>
      <c r="O66" s="286"/>
    </row>
    <row r="67" spans="1:15" s="34" customFormat="1">
      <c r="A67" s="46"/>
      <c r="F67" s="31"/>
      <c r="G67" s="31"/>
      <c r="H67" s="31"/>
      <c r="I67" s="31"/>
      <c r="J67" s="31"/>
      <c r="K67" s="31"/>
      <c r="L67" s="280"/>
      <c r="M67" s="286"/>
      <c r="N67" s="286"/>
      <c r="O67" s="286"/>
    </row>
    <row r="68" spans="1:15" s="34" customFormat="1">
      <c r="A68" s="46"/>
      <c r="F68" s="31"/>
      <c r="G68" s="31"/>
      <c r="H68" s="31"/>
      <c r="I68" s="31"/>
      <c r="J68" s="31"/>
      <c r="K68" s="31"/>
      <c r="L68" s="280"/>
      <c r="M68" s="286"/>
      <c r="N68" s="286"/>
      <c r="O68" s="286"/>
    </row>
    <row r="69" spans="1:15" s="34" customFormat="1">
      <c r="A69" s="46"/>
      <c r="F69" s="31"/>
      <c r="G69" s="31"/>
      <c r="H69" s="31"/>
      <c r="I69" s="31"/>
      <c r="J69" s="31"/>
      <c r="K69" s="31"/>
      <c r="L69" s="280"/>
      <c r="M69" s="286"/>
      <c r="N69" s="286"/>
      <c r="O69" s="286"/>
    </row>
    <row r="70" spans="1:15" s="34" customFormat="1">
      <c r="A70" s="46"/>
      <c r="F70" s="31"/>
      <c r="G70" s="31"/>
      <c r="H70" s="31"/>
      <c r="I70" s="31"/>
      <c r="J70" s="31"/>
      <c r="K70" s="31"/>
      <c r="L70" s="280"/>
      <c r="M70" s="286"/>
      <c r="N70" s="286"/>
      <c r="O70" s="286"/>
    </row>
    <row r="71" spans="1:15" s="34" customFormat="1">
      <c r="A71" s="46"/>
      <c r="F71" s="31"/>
      <c r="G71" s="31"/>
      <c r="H71" s="31"/>
      <c r="I71" s="31"/>
      <c r="J71" s="31"/>
      <c r="K71" s="31"/>
      <c r="L71" s="280"/>
      <c r="M71" s="286"/>
      <c r="N71" s="286"/>
      <c r="O71" s="286"/>
    </row>
    <row r="72" spans="1:15" s="34" customFormat="1">
      <c r="A72" s="46"/>
      <c r="F72" s="31"/>
      <c r="G72" s="31"/>
      <c r="H72" s="31"/>
      <c r="I72" s="31"/>
      <c r="J72" s="31"/>
      <c r="K72" s="31"/>
      <c r="L72" s="280"/>
      <c r="M72" s="286"/>
      <c r="N72" s="286"/>
      <c r="O72" s="286"/>
    </row>
    <row r="73" spans="1:15" s="34" customFormat="1">
      <c r="A73" s="46"/>
      <c r="F73" s="31"/>
      <c r="G73" s="31"/>
      <c r="H73" s="31"/>
      <c r="I73" s="31"/>
      <c r="J73" s="31"/>
      <c r="K73" s="31"/>
      <c r="L73" s="280"/>
      <c r="M73" s="286"/>
      <c r="N73" s="286"/>
      <c r="O73" s="286"/>
    </row>
    <row r="74" spans="1:15" s="34" customFormat="1">
      <c r="A74" s="46"/>
      <c r="F74" s="31"/>
      <c r="G74" s="31"/>
      <c r="H74" s="31"/>
      <c r="I74" s="31"/>
      <c r="J74" s="31"/>
      <c r="K74" s="31"/>
      <c r="L74" s="280"/>
      <c r="M74" s="286"/>
      <c r="N74" s="286"/>
      <c r="O74" s="286"/>
    </row>
    <row r="75" spans="1:15" s="34" customFormat="1">
      <c r="A75" s="46"/>
      <c r="F75" s="31"/>
      <c r="G75" s="31"/>
      <c r="H75" s="31"/>
      <c r="I75" s="31"/>
      <c r="J75" s="31"/>
      <c r="K75" s="31"/>
      <c r="L75" s="280"/>
      <c r="M75" s="286"/>
      <c r="N75" s="286"/>
      <c r="O75" s="286"/>
    </row>
    <row r="76" spans="1:15" s="34" customFormat="1">
      <c r="A76" s="46"/>
      <c r="F76" s="31"/>
      <c r="G76" s="31"/>
      <c r="H76" s="31"/>
      <c r="I76" s="31"/>
      <c r="J76" s="31"/>
      <c r="K76" s="31"/>
      <c r="L76" s="280"/>
      <c r="M76" s="286"/>
      <c r="N76" s="286"/>
      <c r="O76" s="286"/>
    </row>
    <row r="77" spans="1:15" s="34" customFormat="1">
      <c r="A77" s="46"/>
      <c r="F77" s="31"/>
      <c r="G77" s="31"/>
      <c r="H77" s="31"/>
      <c r="I77" s="31"/>
      <c r="J77" s="31"/>
      <c r="K77" s="31"/>
      <c r="L77" s="280"/>
      <c r="M77" s="286"/>
      <c r="N77" s="286"/>
      <c r="O77" s="286"/>
    </row>
    <row r="78" spans="1:15" s="34" customFormat="1">
      <c r="A78" s="46"/>
      <c r="F78" s="31"/>
      <c r="G78" s="31"/>
      <c r="H78" s="31"/>
      <c r="I78" s="31"/>
      <c r="J78" s="31"/>
      <c r="K78" s="31"/>
      <c r="L78" s="280"/>
      <c r="M78" s="286"/>
      <c r="N78" s="286"/>
      <c r="O78" s="286"/>
    </row>
    <row r="79" spans="1:15" s="34" customFormat="1">
      <c r="A79" s="46"/>
      <c r="F79" s="31"/>
      <c r="G79" s="31"/>
      <c r="H79" s="31"/>
      <c r="I79" s="31"/>
      <c r="J79" s="31"/>
      <c r="K79" s="31"/>
      <c r="L79" s="280"/>
      <c r="M79" s="286"/>
      <c r="N79" s="286"/>
      <c r="O79" s="286"/>
    </row>
    <row r="80" spans="1:15" s="34" customFormat="1">
      <c r="A80" s="46"/>
      <c r="F80" s="31"/>
      <c r="G80" s="31"/>
      <c r="H80" s="31"/>
      <c r="I80" s="31"/>
      <c r="J80" s="31"/>
      <c r="K80" s="31"/>
      <c r="L80" s="280"/>
      <c r="M80" s="286"/>
      <c r="N80" s="286"/>
      <c r="O80" s="286"/>
    </row>
    <row r="81" spans="1:15" s="34" customFormat="1">
      <c r="A81" s="46"/>
      <c r="F81" s="31"/>
      <c r="G81" s="31"/>
      <c r="H81" s="31"/>
      <c r="I81" s="31"/>
      <c r="J81" s="31"/>
      <c r="K81" s="31"/>
      <c r="L81" s="280"/>
      <c r="M81" s="286"/>
      <c r="N81" s="286"/>
      <c r="O81" s="286"/>
    </row>
    <row r="82" spans="1:15" s="34" customFormat="1">
      <c r="A82" s="46"/>
      <c r="F82" s="31"/>
      <c r="G82" s="31"/>
      <c r="H82" s="31"/>
      <c r="I82" s="31"/>
      <c r="J82" s="31"/>
      <c r="K82" s="31"/>
      <c r="L82" s="280"/>
      <c r="M82" s="286"/>
      <c r="N82" s="286"/>
      <c r="O82" s="286"/>
    </row>
    <row r="83" spans="1:15" s="34" customFormat="1">
      <c r="A83" s="46"/>
      <c r="F83" s="31"/>
      <c r="G83" s="31"/>
      <c r="H83" s="31"/>
      <c r="I83" s="31"/>
      <c r="J83" s="31"/>
      <c r="K83" s="31"/>
      <c r="L83" s="280"/>
      <c r="M83" s="286"/>
      <c r="N83" s="286"/>
      <c r="O83" s="286"/>
    </row>
    <row r="84" spans="1:15" s="34" customFormat="1">
      <c r="A84" s="46"/>
      <c r="F84" s="31"/>
      <c r="G84" s="31"/>
      <c r="H84" s="31"/>
      <c r="I84" s="31"/>
      <c r="J84" s="31"/>
      <c r="K84" s="31"/>
      <c r="L84" s="280"/>
      <c r="M84" s="286"/>
      <c r="N84" s="286"/>
      <c r="O84" s="286"/>
    </row>
    <row r="85" spans="1:15" s="34" customFormat="1">
      <c r="A85" s="46"/>
      <c r="F85" s="31"/>
      <c r="G85" s="31"/>
      <c r="H85" s="31"/>
      <c r="I85" s="31"/>
      <c r="J85" s="31"/>
      <c r="K85" s="31"/>
      <c r="L85" s="280"/>
      <c r="M85" s="286"/>
      <c r="N85" s="286"/>
      <c r="O85" s="286"/>
    </row>
    <row r="86" spans="1:15" s="34" customFormat="1">
      <c r="A86" s="46"/>
      <c r="F86" s="31"/>
      <c r="G86" s="31"/>
      <c r="H86" s="31"/>
      <c r="I86" s="31"/>
      <c r="J86" s="31"/>
      <c r="K86" s="31"/>
      <c r="L86" s="280"/>
      <c r="M86" s="286"/>
      <c r="N86" s="286"/>
      <c r="O86" s="286"/>
    </row>
    <row r="87" spans="1:15" s="34" customFormat="1">
      <c r="A87" s="46"/>
      <c r="F87" s="31"/>
      <c r="G87" s="31"/>
      <c r="H87" s="31"/>
      <c r="I87" s="31"/>
      <c r="J87" s="31"/>
      <c r="K87" s="31"/>
      <c r="L87" s="280"/>
      <c r="M87" s="286"/>
      <c r="N87" s="286"/>
      <c r="O87" s="286"/>
    </row>
    <row r="88" spans="1:15" s="34" customFormat="1">
      <c r="A88" s="46"/>
      <c r="F88" s="31"/>
      <c r="G88" s="31"/>
      <c r="H88" s="31"/>
      <c r="I88" s="31"/>
      <c r="J88" s="31"/>
      <c r="K88" s="31"/>
      <c r="L88" s="280"/>
      <c r="M88" s="286"/>
      <c r="N88" s="286"/>
      <c r="O88" s="286"/>
    </row>
    <row r="89" spans="1:15" s="34" customFormat="1">
      <c r="A89" s="46"/>
      <c r="F89" s="31"/>
      <c r="G89" s="31"/>
      <c r="H89" s="31"/>
      <c r="I89" s="31"/>
      <c r="J89" s="31"/>
      <c r="K89" s="31"/>
      <c r="L89" s="280"/>
      <c r="M89" s="286"/>
      <c r="N89" s="286"/>
      <c r="O89" s="286"/>
    </row>
    <row r="90" spans="1:15" s="34" customFormat="1">
      <c r="A90" s="46"/>
      <c r="F90" s="31"/>
      <c r="G90" s="31"/>
      <c r="H90" s="31"/>
      <c r="I90" s="31"/>
      <c r="J90" s="31"/>
      <c r="K90" s="31"/>
      <c r="L90" s="280"/>
      <c r="M90" s="286"/>
      <c r="N90" s="286"/>
      <c r="O90" s="286"/>
    </row>
    <row r="91" spans="1:15" s="34" customFormat="1">
      <c r="A91" s="46"/>
      <c r="F91" s="31"/>
      <c r="G91" s="31"/>
      <c r="H91" s="31"/>
      <c r="I91" s="31"/>
      <c r="J91" s="31"/>
      <c r="K91" s="31"/>
      <c r="L91" s="280"/>
      <c r="M91" s="286"/>
      <c r="N91" s="286"/>
      <c r="O91" s="286"/>
    </row>
    <row r="92" spans="1:15" s="34" customFormat="1">
      <c r="A92" s="46"/>
      <c r="F92" s="31"/>
      <c r="G92" s="31"/>
      <c r="H92" s="31"/>
      <c r="I92" s="31"/>
      <c r="J92" s="31"/>
      <c r="K92" s="31"/>
      <c r="L92" s="280"/>
      <c r="M92" s="286"/>
      <c r="N92" s="286"/>
      <c r="O92" s="286"/>
    </row>
    <row r="93" spans="1:15" s="34" customFormat="1">
      <c r="A93" s="46"/>
      <c r="F93" s="31"/>
      <c r="G93" s="31"/>
      <c r="H93" s="31"/>
      <c r="I93" s="31"/>
      <c r="J93" s="31"/>
      <c r="K93" s="31"/>
      <c r="L93" s="280"/>
      <c r="M93" s="286"/>
      <c r="N93" s="286"/>
      <c r="O93" s="286"/>
    </row>
    <row r="94" spans="1:15" s="34" customFormat="1">
      <c r="A94" s="46"/>
      <c r="F94" s="31"/>
      <c r="G94" s="31"/>
      <c r="H94" s="31"/>
      <c r="I94" s="31"/>
      <c r="J94" s="31"/>
      <c r="K94" s="31"/>
      <c r="L94" s="280"/>
      <c r="M94" s="286"/>
      <c r="N94" s="286"/>
      <c r="O94" s="286"/>
    </row>
    <row r="95" spans="1:15" s="34" customFormat="1">
      <c r="A95" s="46"/>
      <c r="F95" s="31"/>
      <c r="G95" s="31"/>
      <c r="H95" s="31"/>
      <c r="I95" s="31"/>
      <c r="J95" s="31"/>
      <c r="K95" s="31"/>
      <c r="L95" s="280"/>
      <c r="M95" s="286"/>
      <c r="N95" s="286"/>
      <c r="O95" s="286"/>
    </row>
    <row r="96" spans="1:15" s="34" customFormat="1">
      <c r="A96" s="46"/>
      <c r="F96" s="31"/>
      <c r="G96" s="31"/>
      <c r="H96" s="31"/>
      <c r="I96" s="31"/>
      <c r="J96" s="31"/>
      <c r="K96" s="31"/>
      <c r="L96" s="280"/>
      <c r="M96" s="286"/>
      <c r="N96" s="286"/>
      <c r="O96" s="286"/>
    </row>
    <row r="97" spans="1:15" s="34" customFormat="1">
      <c r="A97" s="46"/>
      <c r="F97" s="31"/>
      <c r="G97" s="31"/>
      <c r="H97" s="31"/>
      <c r="I97" s="31"/>
      <c r="J97" s="31"/>
      <c r="K97" s="31"/>
      <c r="L97" s="280"/>
      <c r="M97" s="286"/>
      <c r="N97" s="286"/>
      <c r="O97" s="286"/>
    </row>
    <row r="98" spans="1:15" s="34" customFormat="1">
      <c r="A98" s="46"/>
      <c r="F98" s="31"/>
      <c r="G98" s="31"/>
      <c r="H98" s="31"/>
      <c r="I98" s="31"/>
      <c r="J98" s="31"/>
      <c r="K98" s="31"/>
      <c r="L98" s="280"/>
      <c r="M98" s="286"/>
      <c r="N98" s="286"/>
      <c r="O98" s="286"/>
    </row>
    <row r="99" spans="1:15" s="34" customFormat="1">
      <c r="A99" s="46"/>
      <c r="F99" s="31"/>
      <c r="G99" s="31"/>
      <c r="H99" s="31"/>
      <c r="I99" s="31"/>
      <c r="J99" s="31"/>
      <c r="K99" s="31"/>
      <c r="L99" s="280"/>
      <c r="M99" s="286"/>
      <c r="N99" s="286"/>
      <c r="O99" s="286"/>
    </row>
    <row r="100" spans="1:15" s="34" customFormat="1">
      <c r="A100" s="46"/>
      <c r="F100" s="31"/>
      <c r="G100" s="31"/>
      <c r="H100" s="31"/>
      <c r="I100" s="31"/>
      <c r="J100" s="31"/>
      <c r="K100" s="31"/>
      <c r="L100" s="280"/>
      <c r="M100" s="286"/>
      <c r="N100" s="286"/>
      <c r="O100" s="286"/>
    </row>
    <row r="101" spans="1:15" s="34" customFormat="1">
      <c r="A101" s="46"/>
      <c r="F101" s="31"/>
      <c r="G101" s="31"/>
      <c r="H101" s="31"/>
      <c r="I101" s="31"/>
      <c r="J101" s="31"/>
      <c r="K101" s="31"/>
      <c r="L101" s="280"/>
      <c r="M101" s="286"/>
      <c r="N101" s="286"/>
      <c r="O101" s="286"/>
    </row>
    <row r="102" spans="1:15" s="34" customFormat="1">
      <c r="A102" s="46"/>
      <c r="F102" s="31"/>
      <c r="G102" s="31"/>
      <c r="H102" s="31"/>
      <c r="I102" s="31"/>
      <c r="J102" s="31"/>
      <c r="K102" s="31"/>
      <c r="L102" s="280"/>
      <c r="M102" s="286"/>
      <c r="N102" s="286"/>
      <c r="O102" s="286"/>
    </row>
    <row r="103" spans="1:15" s="34" customFormat="1">
      <c r="A103" s="46"/>
      <c r="F103" s="31"/>
      <c r="G103" s="31"/>
      <c r="H103" s="31"/>
      <c r="I103" s="31"/>
      <c r="J103" s="31"/>
      <c r="K103" s="31"/>
      <c r="L103" s="280"/>
      <c r="M103" s="286"/>
      <c r="N103" s="286"/>
      <c r="O103" s="286"/>
    </row>
    <row r="104" spans="1:15" s="34" customFormat="1">
      <c r="A104" s="46"/>
      <c r="F104" s="31"/>
      <c r="G104" s="31"/>
      <c r="H104" s="31"/>
      <c r="I104" s="31"/>
      <c r="J104" s="31"/>
      <c r="K104" s="31"/>
      <c r="L104" s="280"/>
      <c r="M104" s="286"/>
      <c r="N104" s="286"/>
      <c r="O104" s="286"/>
    </row>
    <row r="105" spans="1:15" s="34" customFormat="1">
      <c r="A105" s="46"/>
      <c r="F105" s="31"/>
      <c r="G105" s="31"/>
      <c r="H105" s="31"/>
      <c r="I105" s="31"/>
      <c r="J105" s="31"/>
      <c r="K105" s="31"/>
      <c r="L105" s="280"/>
      <c r="M105" s="286"/>
      <c r="N105" s="286"/>
      <c r="O105" s="286"/>
    </row>
    <row r="106" spans="1:15" s="34" customFormat="1">
      <c r="A106" s="46"/>
      <c r="F106" s="31"/>
      <c r="G106" s="31"/>
      <c r="H106" s="31"/>
      <c r="I106" s="31"/>
      <c r="J106" s="31"/>
      <c r="K106" s="31"/>
      <c r="L106" s="280"/>
      <c r="M106" s="286"/>
      <c r="N106" s="286"/>
      <c r="O106" s="286"/>
    </row>
    <row r="107" spans="1:15" s="34" customFormat="1">
      <c r="A107" s="46"/>
      <c r="F107" s="31"/>
      <c r="G107" s="31"/>
      <c r="H107" s="31"/>
      <c r="I107" s="31"/>
      <c r="J107" s="31"/>
      <c r="K107" s="31"/>
      <c r="L107" s="280"/>
      <c r="M107" s="286"/>
      <c r="N107" s="286"/>
      <c r="O107" s="286"/>
    </row>
    <row r="108" spans="1:15" s="34" customFormat="1">
      <c r="A108" s="46"/>
      <c r="F108" s="31"/>
      <c r="G108" s="31"/>
      <c r="H108" s="31"/>
      <c r="I108" s="31"/>
      <c r="J108" s="31"/>
      <c r="K108" s="31"/>
      <c r="L108" s="280"/>
      <c r="M108" s="286"/>
      <c r="N108" s="286"/>
      <c r="O108" s="286"/>
    </row>
    <row r="109" spans="1:15" s="34" customFormat="1">
      <c r="A109" s="46"/>
      <c r="F109" s="31"/>
      <c r="G109" s="31"/>
      <c r="H109" s="31"/>
      <c r="I109" s="31"/>
      <c r="J109" s="31"/>
      <c r="K109" s="31"/>
      <c r="L109" s="280"/>
      <c r="M109" s="286"/>
      <c r="N109" s="286"/>
      <c r="O109" s="286"/>
    </row>
    <row r="110" spans="1:15" s="34" customFormat="1">
      <c r="A110" s="46"/>
      <c r="F110" s="31"/>
      <c r="G110" s="31"/>
      <c r="H110" s="31"/>
      <c r="I110" s="31"/>
      <c r="J110" s="31"/>
      <c r="K110" s="31"/>
      <c r="L110" s="280"/>
      <c r="M110" s="286"/>
      <c r="N110" s="286"/>
      <c r="O110" s="286"/>
    </row>
    <row r="111" spans="1:15" s="34" customFormat="1">
      <c r="A111" s="46"/>
      <c r="F111" s="31"/>
      <c r="G111" s="31"/>
      <c r="H111" s="31"/>
      <c r="I111" s="31"/>
      <c r="J111" s="31"/>
      <c r="K111" s="31"/>
      <c r="L111" s="280"/>
      <c r="M111" s="286"/>
      <c r="N111" s="286"/>
      <c r="O111" s="286"/>
    </row>
    <row r="112" spans="1:15" s="34" customFormat="1">
      <c r="A112" s="46"/>
      <c r="F112" s="31"/>
      <c r="G112" s="31"/>
      <c r="H112" s="31"/>
      <c r="I112" s="31"/>
      <c r="J112" s="31"/>
      <c r="K112" s="31"/>
      <c r="L112" s="280"/>
      <c r="M112" s="286"/>
      <c r="N112" s="286"/>
      <c r="O112" s="286"/>
    </row>
    <row r="113" spans="1:15" s="34" customFormat="1">
      <c r="A113" s="46"/>
      <c r="F113" s="31"/>
      <c r="G113" s="31"/>
      <c r="H113" s="31"/>
      <c r="I113" s="31"/>
      <c r="J113" s="31"/>
      <c r="K113" s="31"/>
      <c r="L113" s="280"/>
      <c r="M113" s="286"/>
      <c r="N113" s="286"/>
      <c r="O113" s="286"/>
    </row>
    <row r="114" spans="1:15" s="34" customFormat="1">
      <c r="A114" s="46"/>
      <c r="F114" s="31"/>
      <c r="G114" s="31"/>
      <c r="H114" s="31"/>
      <c r="I114" s="31"/>
      <c r="J114" s="31"/>
      <c r="K114" s="31"/>
      <c r="L114" s="280"/>
      <c r="M114" s="286"/>
      <c r="N114" s="286"/>
      <c r="O114" s="286"/>
    </row>
    <row r="115" spans="1:15" s="34" customFormat="1">
      <c r="A115" s="46"/>
      <c r="F115" s="31"/>
      <c r="G115" s="31"/>
      <c r="H115" s="31"/>
      <c r="I115" s="31"/>
      <c r="J115" s="31"/>
      <c r="K115" s="31"/>
      <c r="L115" s="280"/>
      <c r="M115" s="286"/>
      <c r="N115" s="286"/>
      <c r="O115" s="286"/>
    </row>
    <row r="116" spans="1:15" s="34" customFormat="1">
      <c r="A116" s="46"/>
      <c r="F116" s="31"/>
      <c r="G116" s="31"/>
      <c r="H116" s="31"/>
      <c r="I116" s="31"/>
      <c r="J116" s="31"/>
      <c r="K116" s="31"/>
      <c r="L116" s="280"/>
      <c r="M116" s="286"/>
      <c r="N116" s="286"/>
      <c r="O116" s="286"/>
    </row>
    <row r="117" spans="1:15" s="34" customFormat="1">
      <c r="A117" s="46"/>
      <c r="F117" s="31"/>
      <c r="G117" s="31"/>
      <c r="H117" s="31"/>
      <c r="I117" s="31"/>
      <c r="J117" s="31"/>
      <c r="K117" s="31"/>
      <c r="L117" s="280"/>
      <c r="M117" s="286"/>
      <c r="N117" s="286"/>
      <c r="O117" s="286"/>
    </row>
    <row r="118" spans="1:15" s="34" customFormat="1">
      <c r="A118" s="46"/>
      <c r="F118" s="31"/>
      <c r="G118" s="31"/>
      <c r="H118" s="31"/>
      <c r="I118" s="31"/>
      <c r="J118" s="31"/>
      <c r="K118" s="31"/>
      <c r="L118" s="280"/>
      <c r="M118" s="286"/>
      <c r="N118" s="286"/>
      <c r="O118" s="286"/>
    </row>
    <row r="119" spans="1:15" s="34" customFormat="1">
      <c r="A119" s="46"/>
      <c r="F119" s="31"/>
      <c r="G119" s="31"/>
      <c r="H119" s="31"/>
      <c r="I119" s="31"/>
      <c r="J119" s="31"/>
      <c r="K119" s="31"/>
      <c r="L119" s="280"/>
      <c r="M119" s="286"/>
      <c r="N119" s="286"/>
      <c r="O119" s="286"/>
    </row>
    <row r="120" spans="1:15" s="34" customFormat="1">
      <c r="A120" s="46"/>
      <c r="F120" s="31"/>
      <c r="G120" s="31"/>
      <c r="H120" s="31"/>
      <c r="I120" s="31"/>
      <c r="J120" s="31"/>
      <c r="K120" s="31"/>
      <c r="L120" s="280"/>
      <c r="M120" s="286"/>
      <c r="N120" s="286"/>
      <c r="O120" s="286"/>
    </row>
    <row r="121" spans="1:15" s="34" customFormat="1">
      <c r="A121" s="46"/>
      <c r="F121" s="31"/>
      <c r="G121" s="31"/>
      <c r="H121" s="31"/>
      <c r="I121" s="31"/>
      <c r="J121" s="31"/>
      <c r="K121" s="31"/>
      <c r="L121" s="280"/>
      <c r="M121" s="286"/>
      <c r="N121" s="286"/>
      <c r="O121" s="286"/>
    </row>
    <row r="122" spans="1:15" s="34" customFormat="1">
      <c r="A122" s="46"/>
      <c r="F122" s="31"/>
      <c r="G122" s="31"/>
      <c r="H122" s="31"/>
      <c r="I122" s="31"/>
      <c r="J122" s="31"/>
      <c r="K122" s="31"/>
      <c r="L122" s="280"/>
      <c r="M122" s="286"/>
      <c r="N122" s="286"/>
      <c r="O122" s="286"/>
    </row>
    <row r="123" spans="1:15" s="34" customFormat="1">
      <c r="A123" s="46"/>
      <c r="F123" s="31"/>
      <c r="G123" s="31"/>
      <c r="H123" s="31"/>
      <c r="I123" s="31"/>
      <c r="J123" s="31"/>
      <c r="K123" s="31"/>
      <c r="L123" s="280"/>
      <c r="M123" s="286"/>
      <c r="N123" s="286"/>
      <c r="O123" s="286"/>
    </row>
    <row r="124" spans="1:15" s="34" customFormat="1">
      <c r="A124" s="46"/>
      <c r="F124" s="31"/>
      <c r="G124" s="31"/>
      <c r="H124" s="31"/>
      <c r="I124" s="31"/>
      <c r="J124" s="31"/>
      <c r="K124" s="31"/>
      <c r="L124" s="280"/>
      <c r="M124" s="286"/>
      <c r="N124" s="286"/>
      <c r="O124" s="286"/>
    </row>
    <row r="125" spans="1:15" s="34" customFormat="1">
      <c r="A125" s="46"/>
      <c r="F125" s="31"/>
      <c r="G125" s="31"/>
      <c r="H125" s="31"/>
      <c r="I125" s="31"/>
      <c r="J125" s="31"/>
      <c r="K125" s="31"/>
      <c r="L125" s="280"/>
      <c r="M125" s="286"/>
      <c r="N125" s="286"/>
      <c r="O125" s="286"/>
    </row>
    <row r="126" spans="1:15" s="34" customFormat="1">
      <c r="A126" s="46"/>
      <c r="F126" s="31"/>
      <c r="G126" s="31"/>
      <c r="H126" s="31"/>
      <c r="I126" s="31"/>
      <c r="J126" s="31"/>
      <c r="K126" s="31"/>
      <c r="L126" s="280"/>
      <c r="M126" s="286"/>
      <c r="N126" s="286"/>
      <c r="O126" s="286"/>
    </row>
    <row r="127" spans="1:15" s="34" customFormat="1">
      <c r="A127" s="46"/>
      <c r="F127" s="31"/>
      <c r="G127" s="31"/>
      <c r="H127" s="31"/>
      <c r="I127" s="31"/>
      <c r="J127" s="31"/>
      <c r="K127" s="31"/>
      <c r="L127" s="280"/>
      <c r="M127" s="286"/>
      <c r="N127" s="286"/>
      <c r="O127" s="286"/>
    </row>
    <row r="128" spans="1:15" s="34" customFormat="1">
      <c r="A128" s="46"/>
      <c r="F128" s="31"/>
      <c r="G128" s="31"/>
      <c r="H128" s="31"/>
      <c r="I128" s="31"/>
      <c r="J128" s="31"/>
      <c r="K128" s="31"/>
      <c r="L128" s="280"/>
      <c r="M128" s="286"/>
      <c r="N128" s="286"/>
      <c r="O128" s="286"/>
    </row>
    <row r="129" spans="1:15" s="34" customFormat="1">
      <c r="A129" s="46"/>
      <c r="F129" s="31"/>
      <c r="G129" s="31"/>
      <c r="H129" s="31"/>
      <c r="I129" s="31"/>
      <c r="J129" s="31"/>
      <c r="K129" s="31"/>
      <c r="L129" s="280"/>
      <c r="M129" s="286"/>
      <c r="N129" s="286"/>
      <c r="O129" s="286"/>
    </row>
    <row r="130" spans="1:15" s="34" customFormat="1">
      <c r="A130" s="46"/>
      <c r="F130" s="31"/>
      <c r="G130" s="31"/>
      <c r="H130" s="31"/>
      <c r="I130" s="31"/>
      <c r="J130" s="31"/>
      <c r="K130" s="31"/>
      <c r="L130" s="280"/>
      <c r="M130" s="286"/>
      <c r="N130" s="286"/>
      <c r="O130" s="286"/>
    </row>
    <row r="131" spans="1:15" s="34" customFormat="1">
      <c r="A131" s="46"/>
      <c r="F131" s="31"/>
      <c r="G131" s="31"/>
      <c r="H131" s="31"/>
      <c r="I131" s="31"/>
      <c r="J131" s="31"/>
      <c r="K131" s="31"/>
      <c r="L131" s="280"/>
      <c r="M131" s="286"/>
      <c r="N131" s="286"/>
      <c r="O131" s="286"/>
    </row>
    <row r="132" spans="1:15" s="34" customFormat="1">
      <c r="A132" s="46"/>
      <c r="F132" s="31"/>
      <c r="G132" s="31"/>
      <c r="H132" s="31"/>
      <c r="I132" s="31"/>
      <c r="J132" s="31"/>
      <c r="K132" s="31"/>
      <c r="L132" s="280"/>
      <c r="M132" s="286"/>
      <c r="N132" s="286"/>
      <c r="O132" s="286"/>
    </row>
    <row r="133" spans="1:15" s="34" customFormat="1">
      <c r="A133" s="46"/>
      <c r="F133" s="31"/>
      <c r="G133" s="31"/>
      <c r="H133" s="31"/>
      <c r="I133" s="31"/>
      <c r="J133" s="31"/>
      <c r="K133" s="31"/>
      <c r="L133" s="280"/>
      <c r="M133" s="286"/>
      <c r="N133" s="286"/>
      <c r="O133" s="286"/>
    </row>
    <row r="134" spans="1:15" s="34" customFormat="1">
      <c r="A134" s="46"/>
      <c r="F134" s="31"/>
      <c r="G134" s="31"/>
      <c r="H134" s="31"/>
      <c r="I134" s="31"/>
      <c r="J134" s="31"/>
      <c r="K134" s="31"/>
      <c r="L134" s="280"/>
      <c r="M134" s="286"/>
      <c r="N134" s="286"/>
      <c r="O134" s="286"/>
    </row>
    <row r="135" spans="1:15" s="34" customFormat="1">
      <c r="A135" s="46"/>
      <c r="F135" s="31"/>
      <c r="G135" s="31"/>
      <c r="H135" s="31"/>
      <c r="I135" s="31"/>
      <c r="J135" s="31"/>
      <c r="K135" s="31"/>
      <c r="L135" s="280"/>
      <c r="M135" s="286"/>
      <c r="N135" s="286"/>
      <c r="O135" s="286"/>
    </row>
    <row r="136" spans="1:15" s="34" customFormat="1">
      <c r="A136" s="46"/>
      <c r="F136" s="31"/>
      <c r="G136" s="31"/>
      <c r="H136" s="31"/>
      <c r="I136" s="31"/>
      <c r="J136" s="31"/>
      <c r="K136" s="31"/>
      <c r="L136" s="280"/>
      <c r="M136" s="286"/>
      <c r="N136" s="286"/>
      <c r="O136" s="286"/>
    </row>
    <row r="137" spans="1:15" s="34" customFormat="1">
      <c r="A137" s="46"/>
      <c r="F137" s="31"/>
      <c r="G137" s="31"/>
      <c r="H137" s="31"/>
      <c r="I137" s="31"/>
      <c r="J137" s="31"/>
      <c r="K137" s="31"/>
      <c r="L137" s="280"/>
      <c r="M137" s="286"/>
      <c r="N137" s="286"/>
      <c r="O137" s="286"/>
    </row>
    <row r="138" spans="1:15" s="34" customFormat="1">
      <c r="A138" s="46"/>
      <c r="F138" s="31"/>
      <c r="G138" s="31"/>
      <c r="H138" s="31"/>
      <c r="I138" s="31"/>
      <c r="J138" s="31"/>
      <c r="K138" s="31"/>
      <c r="L138" s="280"/>
      <c r="M138" s="286"/>
      <c r="N138" s="286"/>
      <c r="O138" s="286"/>
    </row>
    <row r="139" spans="1:15" s="34" customFormat="1">
      <c r="A139" s="46"/>
      <c r="F139" s="31"/>
      <c r="G139" s="31"/>
      <c r="H139" s="31"/>
      <c r="I139" s="31"/>
      <c r="J139" s="31"/>
      <c r="K139" s="31"/>
      <c r="L139" s="280"/>
      <c r="M139" s="286"/>
      <c r="N139" s="286"/>
      <c r="O139" s="286"/>
    </row>
    <row r="140" spans="1:15" s="34" customFormat="1">
      <c r="A140" s="46"/>
      <c r="F140" s="31"/>
      <c r="G140" s="31"/>
      <c r="H140" s="31"/>
      <c r="I140" s="31"/>
      <c r="J140" s="31"/>
      <c r="K140" s="31"/>
      <c r="L140" s="280"/>
      <c r="M140" s="286"/>
      <c r="N140" s="286"/>
      <c r="O140" s="286"/>
    </row>
    <row r="141" spans="1:15" s="34" customFormat="1">
      <c r="A141" s="46"/>
      <c r="F141" s="31"/>
      <c r="G141" s="31"/>
      <c r="H141" s="31"/>
      <c r="I141" s="31"/>
      <c r="J141" s="31"/>
      <c r="K141" s="31"/>
      <c r="L141" s="280"/>
      <c r="M141" s="286"/>
      <c r="N141" s="286"/>
      <c r="O141" s="286"/>
    </row>
    <row r="142" spans="1:15" s="34" customFormat="1">
      <c r="A142" s="46"/>
      <c r="F142" s="31"/>
      <c r="G142" s="31"/>
      <c r="H142" s="31"/>
      <c r="I142" s="31"/>
      <c r="J142" s="31"/>
      <c r="K142" s="31"/>
      <c r="L142" s="280"/>
      <c r="M142" s="286"/>
      <c r="N142" s="286"/>
      <c r="O142" s="286"/>
    </row>
    <row r="143" spans="1:15" s="34" customFormat="1">
      <c r="A143" s="46"/>
      <c r="F143" s="31"/>
      <c r="G143" s="31"/>
      <c r="H143" s="31"/>
      <c r="I143" s="31"/>
      <c r="J143" s="31"/>
      <c r="K143" s="31"/>
      <c r="L143" s="280"/>
      <c r="M143" s="286"/>
      <c r="N143" s="286"/>
      <c r="O143" s="286"/>
    </row>
    <row r="144" spans="1:15" s="34" customFormat="1">
      <c r="A144" s="46"/>
      <c r="F144" s="31"/>
      <c r="G144" s="31"/>
      <c r="H144" s="31"/>
      <c r="I144" s="31"/>
      <c r="J144" s="31"/>
      <c r="K144" s="31"/>
      <c r="L144" s="280"/>
      <c r="M144" s="286"/>
      <c r="N144" s="286"/>
      <c r="O144" s="286"/>
    </row>
    <row r="145" spans="1:15" s="34" customFormat="1">
      <c r="A145" s="46"/>
      <c r="F145" s="31"/>
      <c r="G145" s="31"/>
      <c r="H145" s="31"/>
      <c r="I145" s="31"/>
      <c r="J145" s="31"/>
      <c r="K145" s="31"/>
      <c r="L145" s="280"/>
      <c r="M145" s="286"/>
      <c r="N145" s="286"/>
      <c r="O145" s="286"/>
    </row>
    <row r="146" spans="1:15" s="34" customFormat="1">
      <c r="A146" s="46"/>
      <c r="F146" s="31"/>
      <c r="G146" s="31"/>
      <c r="H146" s="31"/>
      <c r="I146" s="31"/>
      <c r="J146" s="31"/>
      <c r="K146" s="31"/>
      <c r="L146" s="280"/>
      <c r="M146" s="286"/>
      <c r="N146" s="286"/>
      <c r="O146" s="286"/>
    </row>
    <row r="147" spans="1:15" s="34" customFormat="1">
      <c r="A147" s="46"/>
      <c r="F147" s="31"/>
      <c r="G147" s="31"/>
      <c r="H147" s="31"/>
      <c r="I147" s="31"/>
      <c r="J147" s="31"/>
      <c r="K147" s="31"/>
      <c r="L147" s="280"/>
      <c r="M147" s="286"/>
      <c r="N147" s="286"/>
      <c r="O147" s="286"/>
    </row>
    <row r="148" spans="1:15" s="34" customFormat="1">
      <c r="A148" s="46"/>
      <c r="F148" s="31"/>
      <c r="G148" s="31"/>
      <c r="H148" s="31"/>
      <c r="I148" s="31"/>
      <c r="J148" s="31"/>
      <c r="K148" s="31"/>
      <c r="L148" s="280"/>
      <c r="M148" s="286"/>
      <c r="N148" s="286"/>
      <c r="O148" s="286"/>
    </row>
    <row r="149" spans="1:15" s="34" customFormat="1">
      <c r="A149" s="46"/>
      <c r="F149" s="31"/>
      <c r="G149" s="31"/>
      <c r="H149" s="31"/>
      <c r="I149" s="31"/>
      <c r="J149" s="31"/>
      <c r="K149" s="31"/>
      <c r="L149" s="280"/>
      <c r="M149" s="286"/>
      <c r="N149" s="286"/>
      <c r="O149" s="286"/>
    </row>
    <row r="150" spans="1:15" s="34" customFormat="1">
      <c r="A150" s="46"/>
      <c r="F150" s="31"/>
      <c r="G150" s="31"/>
      <c r="H150" s="31"/>
      <c r="I150" s="31"/>
      <c r="J150" s="31"/>
      <c r="K150" s="31"/>
      <c r="L150" s="280"/>
      <c r="M150" s="286"/>
      <c r="N150" s="286"/>
      <c r="O150" s="286"/>
    </row>
    <row r="151" spans="1:15" s="34" customFormat="1">
      <c r="A151" s="46"/>
      <c r="F151" s="31"/>
      <c r="G151" s="31"/>
      <c r="H151" s="31"/>
      <c r="I151" s="31"/>
      <c r="J151" s="31"/>
      <c r="K151" s="31"/>
      <c r="L151" s="280"/>
      <c r="M151" s="286"/>
      <c r="N151" s="286"/>
      <c r="O151" s="286"/>
    </row>
    <row r="152" spans="1:15" s="34" customFormat="1">
      <c r="A152" s="46"/>
      <c r="F152" s="31"/>
      <c r="G152" s="31"/>
      <c r="H152" s="31"/>
      <c r="I152" s="31"/>
      <c r="J152" s="31"/>
      <c r="K152" s="31"/>
      <c r="L152" s="280"/>
      <c r="M152" s="286"/>
      <c r="N152" s="286"/>
      <c r="O152" s="286"/>
    </row>
    <row r="153" spans="1:15" s="34" customFormat="1">
      <c r="A153" s="46"/>
      <c r="F153" s="31"/>
      <c r="G153" s="31"/>
      <c r="H153" s="31"/>
      <c r="I153" s="31"/>
      <c r="J153" s="31"/>
      <c r="K153" s="31"/>
      <c r="L153" s="280"/>
      <c r="M153" s="286"/>
      <c r="N153" s="286"/>
      <c r="O153" s="286"/>
    </row>
    <row r="154" spans="1:15" s="34" customFormat="1">
      <c r="A154" s="46"/>
      <c r="F154" s="31"/>
      <c r="G154" s="31"/>
      <c r="H154" s="31"/>
      <c r="I154" s="31"/>
      <c r="J154" s="31"/>
      <c r="K154" s="31"/>
      <c r="L154" s="280"/>
      <c r="M154" s="286"/>
      <c r="N154" s="286"/>
      <c r="O154" s="286"/>
    </row>
    <row r="155" spans="1:15" s="34" customFormat="1">
      <c r="A155" s="46"/>
      <c r="F155" s="31"/>
      <c r="G155" s="31"/>
      <c r="H155" s="31"/>
      <c r="I155" s="31"/>
      <c r="J155" s="31"/>
      <c r="K155" s="31"/>
      <c r="L155" s="280"/>
      <c r="M155" s="286"/>
      <c r="N155" s="286"/>
      <c r="O155" s="286"/>
    </row>
    <row r="156" spans="1:15" s="34" customFormat="1">
      <c r="A156" s="46"/>
      <c r="F156" s="31"/>
      <c r="G156" s="31"/>
      <c r="H156" s="31"/>
      <c r="I156" s="31"/>
      <c r="J156" s="31"/>
      <c r="K156" s="31"/>
      <c r="L156" s="280"/>
      <c r="M156" s="286"/>
      <c r="N156" s="286"/>
      <c r="O156" s="286"/>
    </row>
    <row r="157" spans="1:15" s="34" customFormat="1">
      <c r="A157" s="46"/>
      <c r="F157" s="31"/>
      <c r="G157" s="31"/>
      <c r="H157" s="31"/>
      <c r="I157" s="31"/>
      <c r="J157" s="31"/>
      <c r="K157" s="31"/>
      <c r="L157" s="280"/>
      <c r="M157" s="286"/>
      <c r="N157" s="286"/>
      <c r="O157" s="286"/>
    </row>
    <row r="158" spans="1:15" s="34" customFormat="1">
      <c r="A158" s="46"/>
      <c r="F158" s="31"/>
      <c r="G158" s="31"/>
      <c r="H158" s="31"/>
      <c r="I158" s="31"/>
      <c r="J158" s="31"/>
      <c r="K158" s="31"/>
      <c r="L158" s="280"/>
      <c r="M158" s="286"/>
      <c r="N158" s="286"/>
      <c r="O158" s="286"/>
    </row>
    <row r="159" spans="1:15" s="34" customFormat="1">
      <c r="A159" s="46"/>
      <c r="F159" s="31"/>
      <c r="G159" s="31"/>
      <c r="H159" s="31"/>
      <c r="I159" s="31"/>
      <c r="J159" s="31"/>
      <c r="K159" s="31"/>
      <c r="L159" s="280"/>
      <c r="M159" s="286"/>
      <c r="N159" s="286"/>
      <c r="O159" s="286"/>
    </row>
    <row r="160" spans="1:15" s="34" customFormat="1">
      <c r="A160" s="46"/>
      <c r="F160" s="31"/>
      <c r="G160" s="31"/>
      <c r="H160" s="31"/>
      <c r="I160" s="31"/>
      <c r="J160" s="31"/>
      <c r="K160" s="31"/>
      <c r="L160" s="280"/>
      <c r="M160" s="286"/>
      <c r="N160" s="286"/>
      <c r="O160" s="286"/>
    </row>
    <row r="161" spans="1:15" s="34" customFormat="1">
      <c r="A161" s="46"/>
      <c r="F161" s="31"/>
      <c r="G161" s="31"/>
      <c r="H161" s="31"/>
      <c r="I161" s="31"/>
      <c r="J161" s="31"/>
      <c r="K161" s="31"/>
      <c r="L161" s="280"/>
      <c r="M161" s="286"/>
      <c r="N161" s="286"/>
      <c r="O161" s="286"/>
    </row>
    <row r="162" spans="1:15" s="34" customFormat="1">
      <c r="A162" s="46"/>
      <c r="F162" s="31"/>
      <c r="G162" s="31"/>
      <c r="H162" s="31"/>
      <c r="I162" s="31"/>
      <c r="J162" s="31"/>
      <c r="K162" s="31"/>
      <c r="L162" s="280"/>
      <c r="M162" s="286"/>
      <c r="N162" s="286"/>
      <c r="O162" s="286"/>
    </row>
    <row r="163" spans="1:15" s="34" customFormat="1">
      <c r="A163" s="46"/>
      <c r="F163" s="31"/>
      <c r="G163" s="31"/>
      <c r="H163" s="31"/>
      <c r="I163" s="31"/>
      <c r="J163" s="31"/>
      <c r="K163" s="31"/>
      <c r="L163" s="280"/>
      <c r="M163" s="286"/>
      <c r="N163" s="286"/>
      <c r="O163" s="286"/>
    </row>
    <row r="164" spans="1:15" s="34" customFormat="1">
      <c r="A164" s="46"/>
      <c r="F164" s="31"/>
      <c r="G164" s="31"/>
      <c r="H164" s="31"/>
      <c r="I164" s="31"/>
      <c r="J164" s="31"/>
      <c r="K164" s="31"/>
      <c r="L164" s="280"/>
      <c r="M164" s="286"/>
      <c r="N164" s="286"/>
      <c r="O164" s="286"/>
    </row>
    <row r="165" spans="1:15" s="34" customFormat="1">
      <c r="A165" s="46"/>
      <c r="F165" s="31"/>
      <c r="G165" s="31"/>
      <c r="H165" s="31"/>
      <c r="I165" s="31"/>
      <c r="J165" s="31"/>
      <c r="K165" s="31"/>
      <c r="L165" s="280"/>
      <c r="M165" s="286"/>
      <c r="N165" s="286"/>
      <c r="O165" s="286"/>
    </row>
    <row r="166" spans="1:15" s="34" customFormat="1">
      <c r="A166" s="46"/>
      <c r="F166" s="31"/>
      <c r="G166" s="31"/>
      <c r="H166" s="31"/>
      <c r="I166" s="31"/>
      <c r="J166" s="31"/>
      <c r="K166" s="31"/>
      <c r="L166" s="280"/>
      <c r="M166" s="286"/>
      <c r="N166" s="286"/>
      <c r="O166" s="286"/>
    </row>
    <row r="167" spans="1:15" s="34" customFormat="1">
      <c r="A167" s="46"/>
      <c r="F167" s="31"/>
      <c r="G167" s="31"/>
      <c r="H167" s="31"/>
      <c r="I167" s="31"/>
      <c r="J167" s="31"/>
      <c r="K167" s="31"/>
      <c r="L167" s="280"/>
      <c r="M167" s="286"/>
      <c r="N167" s="286"/>
      <c r="O167" s="286"/>
    </row>
    <row r="168" spans="1:15" s="34" customFormat="1">
      <c r="A168" s="46"/>
      <c r="F168" s="31"/>
      <c r="G168" s="31"/>
      <c r="H168" s="31"/>
      <c r="I168" s="31"/>
      <c r="J168" s="31"/>
      <c r="K168" s="31"/>
      <c r="L168" s="280"/>
      <c r="M168" s="286"/>
      <c r="N168" s="286"/>
      <c r="O168" s="286"/>
    </row>
    <row r="169" spans="1:15" s="34" customFormat="1">
      <c r="A169" s="46"/>
      <c r="F169" s="31"/>
      <c r="G169" s="31"/>
      <c r="H169" s="31"/>
      <c r="I169" s="31"/>
      <c r="J169" s="31"/>
      <c r="K169" s="31"/>
      <c r="L169" s="280"/>
      <c r="M169" s="286"/>
      <c r="N169" s="286"/>
      <c r="O169" s="286"/>
    </row>
    <row r="170" spans="1:15" s="34" customFormat="1">
      <c r="A170" s="46"/>
      <c r="F170" s="31"/>
      <c r="G170" s="31"/>
      <c r="H170" s="31"/>
      <c r="I170" s="31"/>
      <c r="J170" s="31"/>
      <c r="K170" s="31"/>
      <c r="L170" s="280"/>
      <c r="M170" s="286"/>
      <c r="N170" s="286"/>
      <c r="O170" s="286"/>
    </row>
    <row r="171" spans="1:15" s="34" customFormat="1">
      <c r="A171" s="46"/>
      <c r="F171" s="31"/>
      <c r="G171" s="31"/>
      <c r="H171" s="31"/>
      <c r="I171" s="31"/>
      <c r="J171" s="31"/>
      <c r="K171" s="31"/>
      <c r="L171" s="280"/>
      <c r="M171" s="286"/>
      <c r="N171" s="286"/>
      <c r="O171" s="286"/>
    </row>
    <row r="172" spans="1:15" s="34" customFormat="1">
      <c r="A172" s="46"/>
      <c r="F172" s="31"/>
      <c r="G172" s="31"/>
      <c r="H172" s="31"/>
      <c r="I172" s="31"/>
      <c r="J172" s="31"/>
      <c r="K172" s="31"/>
      <c r="L172" s="280"/>
      <c r="M172" s="286"/>
      <c r="N172" s="286"/>
      <c r="O172" s="286"/>
    </row>
    <row r="173" spans="1:15" s="34" customFormat="1">
      <c r="A173" s="46"/>
      <c r="F173" s="31"/>
      <c r="G173" s="31"/>
      <c r="H173" s="31"/>
      <c r="I173" s="31"/>
      <c r="J173" s="31"/>
      <c r="K173" s="31"/>
      <c r="L173" s="280"/>
      <c r="M173" s="286"/>
      <c r="N173" s="286"/>
      <c r="O173" s="286"/>
    </row>
    <row r="174" spans="1:15" s="34" customFormat="1">
      <c r="A174" s="46"/>
      <c r="F174" s="31"/>
      <c r="G174" s="31"/>
      <c r="H174" s="31"/>
      <c r="I174" s="31"/>
      <c r="J174" s="31"/>
      <c r="K174" s="31"/>
      <c r="L174" s="280"/>
      <c r="M174" s="286"/>
      <c r="N174" s="286"/>
      <c r="O174" s="286"/>
    </row>
    <row r="175" spans="1:15" s="34" customFormat="1">
      <c r="A175" s="46"/>
      <c r="F175" s="31"/>
      <c r="G175" s="31"/>
      <c r="H175" s="31"/>
      <c r="I175" s="31"/>
      <c r="J175" s="31"/>
      <c r="K175" s="31"/>
      <c r="L175" s="280"/>
      <c r="M175" s="286"/>
      <c r="N175" s="286"/>
      <c r="O175" s="286"/>
    </row>
    <row r="176" spans="1:15" s="34" customFormat="1">
      <c r="A176" s="46"/>
      <c r="F176" s="31"/>
      <c r="G176" s="31"/>
      <c r="H176" s="31"/>
      <c r="I176" s="31"/>
      <c r="J176" s="31"/>
      <c r="K176" s="31"/>
      <c r="L176" s="280"/>
      <c r="M176" s="286"/>
      <c r="N176" s="286"/>
      <c r="O176" s="286"/>
    </row>
    <row r="177" spans="1:15" s="34" customFormat="1">
      <c r="A177" s="46"/>
      <c r="F177" s="31"/>
      <c r="G177" s="31"/>
      <c r="H177" s="31"/>
      <c r="I177" s="31"/>
      <c r="J177" s="31"/>
      <c r="K177" s="31"/>
      <c r="L177" s="280"/>
      <c r="M177" s="286"/>
      <c r="N177" s="286"/>
      <c r="O177" s="286"/>
    </row>
    <row r="178" spans="1:15" s="34" customFormat="1">
      <c r="A178" s="46"/>
      <c r="F178" s="31"/>
      <c r="G178" s="31"/>
      <c r="H178" s="31"/>
      <c r="I178" s="31"/>
      <c r="J178" s="31"/>
      <c r="K178" s="31"/>
      <c r="L178" s="280"/>
      <c r="M178" s="286"/>
      <c r="N178" s="286"/>
      <c r="O178" s="286"/>
    </row>
    <row r="179" spans="1:15" s="34" customFormat="1">
      <c r="A179" s="46"/>
      <c r="F179" s="31"/>
      <c r="G179" s="31"/>
      <c r="H179" s="31"/>
      <c r="I179" s="31"/>
      <c r="J179" s="31"/>
      <c r="K179" s="31"/>
      <c r="L179" s="280"/>
      <c r="M179" s="286"/>
      <c r="N179" s="286"/>
      <c r="O179" s="286"/>
    </row>
    <row r="180" spans="1:15" s="34" customFormat="1">
      <c r="A180" s="46"/>
      <c r="F180" s="31"/>
      <c r="G180" s="31"/>
      <c r="H180" s="31"/>
      <c r="I180" s="31"/>
      <c r="J180" s="31"/>
      <c r="K180" s="31"/>
      <c r="L180" s="280"/>
      <c r="M180" s="286"/>
      <c r="N180" s="286"/>
      <c r="O180" s="286"/>
    </row>
    <row r="181" spans="1:15" s="34" customFormat="1">
      <c r="A181" s="46"/>
      <c r="F181" s="31"/>
      <c r="G181" s="31"/>
      <c r="H181" s="31"/>
      <c r="I181" s="31"/>
      <c r="J181" s="31"/>
      <c r="K181" s="31"/>
      <c r="L181" s="280"/>
      <c r="M181" s="286"/>
      <c r="N181" s="286"/>
      <c r="O181" s="286"/>
    </row>
    <row r="182" spans="1:15" s="34" customFormat="1">
      <c r="A182" s="46"/>
      <c r="F182" s="31"/>
      <c r="G182" s="31"/>
      <c r="H182" s="31"/>
      <c r="I182" s="31"/>
      <c r="J182" s="31"/>
      <c r="K182" s="31"/>
      <c r="L182" s="280"/>
      <c r="M182" s="286"/>
      <c r="N182" s="286"/>
      <c r="O182" s="286"/>
    </row>
    <row r="183" spans="1:15" s="34" customFormat="1">
      <c r="A183" s="46"/>
      <c r="F183" s="31"/>
      <c r="G183" s="31"/>
      <c r="H183" s="31"/>
      <c r="I183" s="31"/>
      <c r="J183" s="31"/>
      <c r="K183" s="31"/>
      <c r="L183" s="280"/>
      <c r="M183" s="286"/>
      <c r="N183" s="286"/>
      <c r="O183" s="286"/>
    </row>
    <row r="184" spans="1:15" s="34" customFormat="1">
      <c r="A184" s="46"/>
      <c r="F184" s="31"/>
      <c r="G184" s="31"/>
      <c r="H184" s="31"/>
      <c r="I184" s="31"/>
      <c r="J184" s="31"/>
      <c r="K184" s="31"/>
      <c r="L184" s="280"/>
      <c r="M184" s="286"/>
      <c r="N184" s="286"/>
      <c r="O184" s="286"/>
    </row>
    <row r="185" spans="1:15" s="34" customFormat="1">
      <c r="A185" s="46"/>
      <c r="F185" s="31"/>
      <c r="G185" s="31"/>
      <c r="H185" s="31"/>
      <c r="I185" s="31"/>
      <c r="J185" s="31"/>
      <c r="K185" s="31"/>
      <c r="L185" s="280"/>
      <c r="M185" s="286"/>
      <c r="N185" s="286"/>
      <c r="O185" s="286"/>
    </row>
    <row r="186" spans="1:15" s="34" customFormat="1">
      <c r="A186" s="46"/>
      <c r="F186" s="31"/>
      <c r="G186" s="31"/>
      <c r="H186" s="31"/>
      <c r="I186" s="31"/>
      <c r="J186" s="31"/>
      <c r="K186" s="31"/>
      <c r="L186" s="280"/>
      <c r="M186" s="286"/>
      <c r="N186" s="286"/>
      <c r="O186" s="286"/>
    </row>
    <row r="187" spans="1:15" s="34" customFormat="1">
      <c r="A187" s="46"/>
      <c r="F187" s="31"/>
      <c r="G187" s="31"/>
      <c r="H187" s="31"/>
      <c r="I187" s="31"/>
      <c r="J187" s="31"/>
      <c r="K187" s="31"/>
      <c r="L187" s="280"/>
      <c r="M187" s="286"/>
      <c r="N187" s="286"/>
      <c r="O187" s="286"/>
    </row>
    <row r="188" spans="1:15" s="34" customFormat="1">
      <c r="A188" s="46"/>
      <c r="F188" s="31"/>
      <c r="G188" s="31"/>
      <c r="H188" s="31"/>
      <c r="I188" s="31"/>
      <c r="J188" s="31"/>
      <c r="K188" s="31"/>
      <c r="L188" s="280"/>
      <c r="M188" s="286"/>
      <c r="N188" s="286"/>
      <c r="O188" s="286"/>
    </row>
    <row r="189" spans="1:15" s="34" customFormat="1">
      <c r="A189" s="46"/>
      <c r="F189" s="31"/>
      <c r="G189" s="31"/>
      <c r="H189" s="31"/>
      <c r="I189" s="31"/>
      <c r="J189" s="31"/>
      <c r="K189" s="31"/>
      <c r="L189" s="280"/>
      <c r="M189" s="286"/>
      <c r="N189" s="286"/>
      <c r="O189" s="286"/>
    </row>
  </sheetData>
  <mergeCells count="20">
    <mergeCell ref="M24:M25"/>
    <mergeCell ref="N24:Q24"/>
    <mergeCell ref="L24:L25"/>
    <mergeCell ref="C39:F39"/>
    <mergeCell ref="H39:J39"/>
    <mergeCell ref="L32:L33"/>
    <mergeCell ref="M32:M33"/>
    <mergeCell ref="A9:J9"/>
    <mergeCell ref="A19:J19"/>
    <mergeCell ref="C38:F38"/>
    <mergeCell ref="H38:J38"/>
    <mergeCell ref="I37:J37"/>
    <mergeCell ref="A4:J4"/>
    <mergeCell ref="A6:A7"/>
    <mergeCell ref="B6:B7"/>
    <mergeCell ref="C6:C7"/>
    <mergeCell ref="F6:F7"/>
    <mergeCell ref="G6:J6"/>
    <mergeCell ref="E6:E7"/>
    <mergeCell ref="D6:D7"/>
  </mergeCells>
  <phoneticPr fontId="3" type="noConversion"/>
  <pageMargins left="0.70866141732283472" right="0.19685039370078741" top="0.59055118110236227" bottom="0.39370078740157483" header="0.19685039370078741" footer="0.11811023622047245"/>
  <pageSetup paperSize="9" scale="55" fitToHeight="2" orientation="landscape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4:O104"/>
  <sheetViews>
    <sheetView topLeftCell="A13" zoomScale="66" zoomScaleNormal="66" workbookViewId="0">
      <selection activeCell="P65" sqref="P65"/>
    </sheetView>
  </sheetViews>
  <sheetFormatPr defaultRowHeight="18.75" outlineLevelRow="1"/>
  <cols>
    <col min="1" max="1" width="83.140625" style="2" customWidth="1"/>
    <col min="2" max="2" width="10.7109375" style="2" customWidth="1"/>
    <col min="3" max="5" width="16.28515625" style="2" customWidth="1"/>
    <col min="6" max="10" width="16" style="2" customWidth="1"/>
    <col min="11" max="16384" width="9.140625" style="2"/>
  </cols>
  <sheetData>
    <row r="4" spans="1:10">
      <c r="A4" s="692" t="s">
        <v>126</v>
      </c>
      <c r="B4" s="692"/>
      <c r="C4" s="692"/>
      <c r="D4" s="692"/>
      <c r="E4" s="692"/>
      <c r="F4" s="692"/>
      <c r="G4" s="692"/>
      <c r="H4" s="692"/>
      <c r="I4" s="692"/>
      <c r="J4" s="692"/>
    </row>
    <row r="5" spans="1:10" hidden="1" outlineLevel="1">
      <c r="A5" s="19"/>
      <c r="B5" s="19"/>
      <c r="C5" s="383">
        <v>2018</v>
      </c>
      <c r="D5" s="383">
        <v>2019</v>
      </c>
      <c r="E5" s="383">
        <v>2019</v>
      </c>
      <c r="F5" s="383">
        <v>2020</v>
      </c>
      <c r="G5" s="19"/>
      <c r="H5" s="19"/>
      <c r="I5" s="19"/>
      <c r="J5" s="19"/>
    </row>
    <row r="6" spans="1:10" ht="48" customHeight="1" collapsed="1">
      <c r="A6" s="720" t="s">
        <v>195</v>
      </c>
      <c r="B6" s="726" t="s">
        <v>0</v>
      </c>
      <c r="C6" s="726" t="s">
        <v>17</v>
      </c>
      <c r="D6" s="705" t="s">
        <v>291</v>
      </c>
      <c r="E6" s="727" t="s">
        <v>287</v>
      </c>
      <c r="F6" s="697" t="s">
        <v>9</v>
      </c>
      <c r="G6" s="697" t="s">
        <v>288</v>
      </c>
      <c r="H6" s="697"/>
      <c r="I6" s="697"/>
      <c r="J6" s="697"/>
    </row>
    <row r="7" spans="1:10" ht="38.25" customHeight="1">
      <c r="A7" s="725"/>
      <c r="B7" s="726"/>
      <c r="C7" s="726"/>
      <c r="D7" s="709"/>
      <c r="E7" s="728"/>
      <c r="F7" s="697"/>
      <c r="G7" s="15" t="s">
        <v>154</v>
      </c>
      <c r="H7" s="15" t="s">
        <v>155</v>
      </c>
      <c r="I7" s="15" t="s">
        <v>156</v>
      </c>
      <c r="J7" s="15" t="s">
        <v>61</v>
      </c>
    </row>
    <row r="8" spans="1:10" ht="18" customHeight="1">
      <c r="A8" s="7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</row>
    <row r="9" spans="1:10" s="45" customFormat="1" ht="30.75" customHeight="1">
      <c r="A9" s="721" t="s">
        <v>130</v>
      </c>
      <c r="B9" s="721"/>
      <c r="C9" s="721"/>
      <c r="D9" s="721"/>
      <c r="E9" s="721"/>
      <c r="F9" s="721"/>
      <c r="G9" s="721"/>
      <c r="H9" s="721"/>
      <c r="I9" s="721"/>
      <c r="J9" s="721"/>
    </row>
    <row r="10" spans="1:10" ht="20.100000000000001" customHeight="1">
      <c r="A10" s="32" t="s">
        <v>143</v>
      </c>
      <c r="B10" s="9">
        <v>1200</v>
      </c>
      <c r="C10" s="12">
        <f>'1.Фінансовий результат'!C134</f>
        <v>3356.2999999999993</v>
      </c>
      <c r="D10" s="12">
        <f>'1.Фінансовий результат'!D134</f>
        <v>-1.8189894035458565E-12</v>
      </c>
      <c r="E10" s="12">
        <f>'1.Фінансовий результат'!E134</f>
        <v>-3.1832314562052488E-12</v>
      </c>
      <c r="F10" s="12">
        <f>'1.Фінансовий результат'!F134</f>
        <v>1.4779288903810084E-12</v>
      </c>
      <c r="G10" s="12">
        <f>'1.Фінансовий результат'!G134</f>
        <v>4.5474735088646412E-13</v>
      </c>
      <c r="H10" s="12">
        <f>'1.Фінансовий результат'!H134</f>
        <v>-6.2527760746888816E-13</v>
      </c>
      <c r="I10" s="12">
        <f>'1.Фінансовий результат'!I134</f>
        <v>-6.2527760746888816E-13</v>
      </c>
      <c r="J10" s="12">
        <f>'1.Фінансовий результат'!J134</f>
        <v>1.3642420526593924E-12</v>
      </c>
    </row>
    <row r="11" spans="1:10" ht="20.100000000000001" customHeight="1">
      <c r="A11" s="32" t="s">
        <v>144</v>
      </c>
      <c r="B11" s="16"/>
      <c r="C11" s="64"/>
      <c r="D11" s="64"/>
      <c r="E11" s="64"/>
      <c r="F11" s="64"/>
      <c r="G11" s="64"/>
      <c r="H11" s="64"/>
      <c r="I11" s="64"/>
      <c r="J11" s="64"/>
    </row>
    <row r="12" spans="1:10" ht="20.100000000000001" customHeight="1">
      <c r="A12" s="32" t="s">
        <v>146</v>
      </c>
      <c r="B12" s="6">
        <v>3000</v>
      </c>
      <c r="C12" s="12"/>
      <c r="D12" s="12"/>
      <c r="E12" s="12"/>
      <c r="F12" s="12"/>
      <c r="G12" s="12"/>
      <c r="H12" s="12"/>
      <c r="I12" s="12"/>
      <c r="J12" s="12"/>
    </row>
    <row r="13" spans="1:10" ht="20.100000000000001" customHeight="1">
      <c r="A13" s="32" t="s">
        <v>147</v>
      </c>
      <c r="B13" s="6">
        <v>3010</v>
      </c>
      <c r="C13" s="12"/>
      <c r="D13" s="12"/>
      <c r="E13" s="12"/>
      <c r="F13" s="12"/>
      <c r="G13" s="12"/>
      <c r="H13" s="12"/>
      <c r="I13" s="12"/>
      <c r="J13" s="12"/>
    </row>
    <row r="14" spans="1:10" ht="20.100000000000001" customHeight="1">
      <c r="A14" s="32" t="s">
        <v>148</v>
      </c>
      <c r="B14" s="6">
        <v>3020</v>
      </c>
      <c r="C14" s="12"/>
      <c r="D14" s="12"/>
      <c r="E14" s="12"/>
      <c r="F14" s="12"/>
      <c r="G14" s="12"/>
      <c r="H14" s="12"/>
      <c r="I14" s="12"/>
      <c r="J14" s="12"/>
    </row>
    <row r="15" spans="1:10" ht="42.75" customHeight="1">
      <c r="A15" s="32" t="s">
        <v>149</v>
      </c>
      <c r="B15" s="6">
        <v>3030</v>
      </c>
      <c r="C15" s="12"/>
      <c r="D15" s="12"/>
      <c r="E15" s="12"/>
      <c r="F15" s="12"/>
      <c r="G15" s="12"/>
      <c r="H15" s="12"/>
      <c r="I15" s="12"/>
      <c r="J15" s="12"/>
    </row>
    <row r="16" spans="1:10" ht="42.75" customHeight="1">
      <c r="A16" s="44" t="s">
        <v>186</v>
      </c>
      <c r="B16" s="6">
        <v>3040</v>
      </c>
      <c r="C16" s="12"/>
      <c r="D16" s="12"/>
      <c r="E16" s="12"/>
      <c r="F16" s="12"/>
      <c r="G16" s="12"/>
      <c r="H16" s="12"/>
      <c r="I16" s="12"/>
      <c r="J16" s="12"/>
    </row>
    <row r="17" spans="1:15" ht="20.100000000000001" customHeight="1">
      <c r="A17" s="32" t="s">
        <v>150</v>
      </c>
      <c r="B17" s="6">
        <v>3050</v>
      </c>
      <c r="C17" s="12"/>
      <c r="D17" s="12"/>
      <c r="E17" s="12"/>
      <c r="F17" s="12"/>
      <c r="G17" s="12"/>
      <c r="H17" s="12"/>
      <c r="I17" s="12"/>
      <c r="J17" s="12"/>
    </row>
    <row r="18" spans="1:15" ht="20.100000000000001" customHeight="1">
      <c r="A18" s="32" t="s">
        <v>151</v>
      </c>
      <c r="B18" s="6">
        <v>3060</v>
      </c>
      <c r="C18" s="12"/>
      <c r="D18" s="12"/>
      <c r="E18" s="12"/>
      <c r="F18" s="12"/>
      <c r="G18" s="12"/>
      <c r="H18" s="12"/>
      <c r="I18" s="12"/>
      <c r="J18" s="12"/>
    </row>
    <row r="19" spans="1:15" ht="20.100000000000001" customHeight="1">
      <c r="A19" s="44" t="s">
        <v>294</v>
      </c>
      <c r="B19" s="6">
        <v>3070</v>
      </c>
      <c r="C19" s="12"/>
      <c r="D19" s="12"/>
      <c r="E19" s="12"/>
      <c r="F19" s="12"/>
      <c r="G19" s="12"/>
      <c r="H19" s="12"/>
      <c r="I19" s="12"/>
      <c r="J19" s="12"/>
    </row>
    <row r="20" spans="1:15" ht="20.100000000000001" customHeight="1">
      <c r="A20" s="32" t="s">
        <v>145</v>
      </c>
      <c r="B20" s="6">
        <v>3080</v>
      </c>
      <c r="C20" s="12"/>
      <c r="D20" s="12"/>
      <c r="E20" s="12"/>
      <c r="F20" s="12"/>
      <c r="G20" s="12"/>
      <c r="H20" s="12"/>
      <c r="I20" s="12"/>
      <c r="J20" s="12"/>
    </row>
    <row r="21" spans="1:15" ht="20.100000000000001" customHeight="1">
      <c r="A21" s="10" t="s">
        <v>129</v>
      </c>
      <c r="B21" s="6">
        <v>3090</v>
      </c>
      <c r="C21" s="109">
        <v>1672.6</v>
      </c>
      <c r="D21" s="12"/>
      <c r="E21" s="12"/>
      <c r="F21" s="12"/>
      <c r="G21" s="12"/>
      <c r="H21" s="12"/>
      <c r="I21" s="12"/>
      <c r="J21" s="12"/>
    </row>
    <row r="22" spans="1:15" ht="33.75" customHeight="1">
      <c r="A22" s="721" t="s">
        <v>131</v>
      </c>
      <c r="B22" s="721"/>
      <c r="C22" s="721"/>
      <c r="D22" s="721"/>
      <c r="E22" s="721"/>
      <c r="F22" s="721"/>
      <c r="G22" s="721"/>
      <c r="H22" s="721"/>
      <c r="I22" s="721"/>
      <c r="J22" s="721"/>
    </row>
    <row r="23" spans="1:15" ht="20.100000000000001" customHeight="1">
      <c r="A23" s="44" t="s">
        <v>199</v>
      </c>
      <c r="B23" s="9"/>
      <c r="C23" s="12"/>
      <c r="D23" s="12"/>
      <c r="E23" s="12"/>
      <c r="F23" s="12"/>
      <c r="G23" s="12"/>
      <c r="H23" s="12"/>
      <c r="I23" s="12"/>
      <c r="J23" s="12"/>
    </row>
    <row r="24" spans="1:15" ht="20.100000000000001" customHeight="1">
      <c r="A24" s="8" t="s">
        <v>18</v>
      </c>
      <c r="B24" s="9">
        <v>3200</v>
      </c>
      <c r="C24" s="91"/>
      <c r="D24" s="91"/>
      <c r="E24" s="91"/>
      <c r="F24" s="91"/>
      <c r="G24" s="91"/>
      <c r="H24" s="91"/>
      <c r="I24" s="91"/>
      <c r="J24" s="91"/>
    </row>
    <row r="25" spans="1:15" ht="20.100000000000001" customHeight="1">
      <c r="A25" s="8" t="s">
        <v>19</v>
      </c>
      <c r="B25" s="9">
        <v>3210</v>
      </c>
      <c r="C25" s="91"/>
      <c r="D25" s="91"/>
      <c r="E25" s="91"/>
      <c r="F25" s="91"/>
      <c r="G25" s="91"/>
      <c r="H25" s="91"/>
      <c r="I25" s="91"/>
      <c r="J25" s="91"/>
    </row>
    <row r="26" spans="1:15" ht="20.100000000000001" customHeight="1">
      <c r="A26" s="351" t="s">
        <v>41</v>
      </c>
      <c r="B26" s="352">
        <v>3220</v>
      </c>
      <c r="C26" s="348"/>
      <c r="D26" s="348"/>
      <c r="E26" s="348"/>
      <c r="F26" s="348"/>
      <c r="G26" s="348"/>
      <c r="H26" s="348"/>
      <c r="I26" s="348"/>
      <c r="J26" s="348"/>
      <c r="K26" s="115"/>
      <c r="L26" s="115"/>
      <c r="M26" s="115"/>
      <c r="N26" s="115"/>
      <c r="O26" s="115"/>
    </row>
    <row r="27" spans="1:15" ht="20.100000000000001" customHeight="1">
      <c r="A27" s="287" t="s">
        <v>135</v>
      </c>
      <c r="B27" s="352"/>
      <c r="C27" s="109"/>
      <c r="D27" s="109"/>
      <c r="E27" s="109"/>
      <c r="F27" s="109"/>
      <c r="G27" s="109"/>
      <c r="H27" s="109"/>
      <c r="I27" s="109"/>
      <c r="J27" s="109"/>
      <c r="K27" s="115"/>
      <c r="L27" s="115"/>
      <c r="M27" s="115"/>
      <c r="N27" s="115"/>
      <c r="O27" s="115"/>
    </row>
    <row r="28" spans="1:15" ht="20.100000000000001" customHeight="1">
      <c r="A28" s="351" t="s">
        <v>136</v>
      </c>
      <c r="B28" s="352">
        <v>3230</v>
      </c>
      <c r="C28" s="348"/>
      <c r="D28" s="348"/>
      <c r="E28" s="348"/>
      <c r="F28" s="348"/>
      <c r="G28" s="348"/>
      <c r="H28" s="348"/>
      <c r="I28" s="348"/>
      <c r="J28" s="348"/>
      <c r="K28" s="115"/>
      <c r="L28" s="115"/>
      <c r="M28" s="115"/>
      <c r="N28" s="115"/>
      <c r="O28" s="115"/>
    </row>
    <row r="29" spans="1:15" s="115" customFormat="1" ht="20.100000000000001" customHeight="1">
      <c r="A29" s="351" t="s">
        <v>137</v>
      </c>
      <c r="B29" s="352">
        <v>3240</v>
      </c>
      <c r="C29" s="348"/>
      <c r="D29" s="348"/>
      <c r="E29" s="348"/>
      <c r="F29" s="348"/>
      <c r="G29" s="348"/>
      <c r="H29" s="348"/>
      <c r="I29" s="348"/>
      <c r="J29" s="348"/>
    </row>
    <row r="30" spans="1:15" s="115" customFormat="1" ht="20.100000000000001" customHeight="1">
      <c r="A30" s="287" t="s">
        <v>138</v>
      </c>
      <c r="B30" s="352">
        <v>3250</v>
      </c>
      <c r="C30" s="244"/>
      <c r="D30" s="244"/>
      <c r="E30" s="244"/>
      <c r="F30" s="244"/>
      <c r="G30" s="244"/>
      <c r="H30" s="244"/>
      <c r="I30" s="244"/>
      <c r="J30" s="244"/>
      <c r="K30" s="347"/>
    </row>
    <row r="31" spans="1:15" s="115" customFormat="1" ht="20.100000000000001" customHeight="1">
      <c r="A31" s="351" t="s">
        <v>101</v>
      </c>
      <c r="B31" s="352">
        <v>3260</v>
      </c>
      <c r="C31" s="244">
        <f>C33+C34+C35</f>
        <v>571.4</v>
      </c>
      <c r="D31" s="244">
        <f t="shared" ref="D31:J31" si="0">D33+D34+D35</f>
        <v>5352</v>
      </c>
      <c r="E31" s="244">
        <f t="shared" si="0"/>
        <v>1918.3</v>
      </c>
      <c r="F31" s="244">
        <f t="shared" si="0"/>
        <v>5710</v>
      </c>
      <c r="G31" s="244">
        <f t="shared" si="0"/>
        <v>4210</v>
      </c>
      <c r="H31" s="244">
        <f t="shared" si="0"/>
        <v>500</v>
      </c>
      <c r="I31" s="244">
        <f t="shared" si="0"/>
        <v>500</v>
      </c>
      <c r="J31" s="244">
        <f t="shared" si="0"/>
        <v>500</v>
      </c>
      <c r="K31" s="347"/>
    </row>
    <row r="32" spans="1:15" s="115" customFormat="1" ht="20.100000000000001" customHeight="1">
      <c r="A32" s="353" t="s">
        <v>201</v>
      </c>
      <c r="B32" s="352"/>
      <c r="C32" s="244"/>
      <c r="D32" s="244"/>
      <c r="E32" s="244"/>
      <c r="F32" s="244"/>
      <c r="G32" s="244"/>
      <c r="H32" s="244"/>
      <c r="I32" s="244"/>
      <c r="J32" s="244"/>
      <c r="K32" s="347"/>
    </row>
    <row r="33" spans="1:15" s="115" customFormat="1" ht="20.100000000000001" customHeight="1">
      <c r="A33" s="351" t="s">
        <v>102</v>
      </c>
      <c r="B33" s="352">
        <v>3270</v>
      </c>
      <c r="C33" s="244">
        <f>'4. Кап. інвестиції'!C14+'4. Кап. інвестиції'!C15</f>
        <v>401.8</v>
      </c>
      <c r="D33" s="244">
        <f>'4. Кап. інвестиції'!D14+'4. Кап. інвестиції'!D15</f>
        <v>4767.7</v>
      </c>
      <c r="E33" s="244">
        <f>'4. Кап. інвестиції'!E14+'4. Кап. інвестиції'!E15</f>
        <v>638.29999999999995</v>
      </c>
      <c r="F33" s="244">
        <f>'4. Кап. інвестиції'!F14+'4. Кап. інвестиції'!F15</f>
        <v>2000</v>
      </c>
      <c r="G33" s="244">
        <f>'4. Кап. інвестиції'!G14+'4. Кап. інвестиції'!G15</f>
        <v>500</v>
      </c>
      <c r="H33" s="244">
        <f>'4. Кап. інвестиції'!H14+'4. Кап. інвестиції'!H15</f>
        <v>500</v>
      </c>
      <c r="I33" s="244">
        <f>'4. Кап. інвестиції'!I14+'4. Кап. інвестиції'!I15</f>
        <v>500</v>
      </c>
      <c r="J33" s="244">
        <f>'4. Кап. інвестиції'!J14+'4. Кап. інвестиції'!J15</f>
        <v>500</v>
      </c>
      <c r="K33" s="347"/>
    </row>
    <row r="34" spans="1:15" s="115" customFormat="1" ht="20.100000000000001" customHeight="1">
      <c r="A34" s="351" t="s">
        <v>103</v>
      </c>
      <c r="B34" s="352">
        <v>3280</v>
      </c>
      <c r="C34" s="244">
        <f>'4. Кап. інвестиції'!C17</f>
        <v>169.6</v>
      </c>
      <c r="D34" s="244">
        <f>'4. Кап. інвестиції'!D17</f>
        <v>584.29999999999995</v>
      </c>
      <c r="E34" s="244">
        <f>'4. Кап. інвестиції'!E17</f>
        <v>1280</v>
      </c>
      <c r="F34" s="244">
        <f>'4. Кап. інвестиції'!F17</f>
        <v>3710</v>
      </c>
      <c r="G34" s="244">
        <f>'4. Кап. інвестиції'!G17</f>
        <v>3710</v>
      </c>
      <c r="H34" s="244">
        <f>'4. Кап. інвестиції'!H17</f>
        <v>0</v>
      </c>
      <c r="I34" s="244">
        <f>'4. Кап. інвестиції'!I17</f>
        <v>0</v>
      </c>
      <c r="J34" s="244">
        <f>'4. Кап. інвестиції'!J17</f>
        <v>0</v>
      </c>
      <c r="K34" s="347"/>
    </row>
    <row r="35" spans="1:15" s="115" customFormat="1" ht="20.100000000000001" customHeight="1">
      <c r="A35" s="351" t="s">
        <v>104</v>
      </c>
      <c r="B35" s="352">
        <v>3290</v>
      </c>
      <c r="C35" s="244"/>
      <c r="D35" s="244"/>
      <c r="E35" s="244"/>
      <c r="F35" s="244"/>
      <c r="G35" s="244"/>
      <c r="H35" s="244"/>
      <c r="I35" s="244"/>
      <c r="J35" s="244"/>
      <c r="K35" s="347"/>
    </row>
    <row r="36" spans="1:15" s="115" customFormat="1" ht="20.100000000000001" customHeight="1">
      <c r="A36" s="351" t="s">
        <v>42</v>
      </c>
      <c r="B36" s="352">
        <v>3300</v>
      </c>
      <c r="C36" s="354"/>
      <c r="D36" s="354"/>
      <c r="E36" s="354"/>
      <c r="F36" s="348"/>
      <c r="G36" s="348"/>
      <c r="H36" s="348"/>
      <c r="I36" s="348"/>
      <c r="J36" s="348"/>
    </row>
    <row r="37" spans="1:15" ht="20.100000000000001" customHeight="1">
      <c r="A37" s="351" t="s">
        <v>97</v>
      </c>
      <c r="B37" s="352">
        <v>3310</v>
      </c>
      <c r="C37" s="348"/>
      <c r="D37" s="348"/>
      <c r="E37" s="348"/>
      <c r="F37" s="348"/>
      <c r="G37" s="348"/>
      <c r="H37" s="348"/>
      <c r="I37" s="348"/>
      <c r="J37" s="348"/>
      <c r="K37" s="115"/>
      <c r="L37" s="115"/>
      <c r="M37" s="115"/>
      <c r="N37" s="115"/>
      <c r="O37" s="115"/>
    </row>
    <row r="38" spans="1:15" ht="20.100000000000001" customHeight="1">
      <c r="A38" s="353" t="s">
        <v>132</v>
      </c>
      <c r="B38" s="352">
        <v>3320</v>
      </c>
      <c r="C38" s="348">
        <f>SUM(C24:C31)-SUM(C33:C37)</f>
        <v>0</v>
      </c>
      <c r="D38" s="348">
        <f t="shared" ref="D38:J38" si="1">SUM(D24:D31)-SUM(D33:D37)</f>
        <v>0</v>
      </c>
      <c r="E38" s="348">
        <f t="shared" si="1"/>
        <v>0</v>
      </c>
      <c r="F38" s="348">
        <f t="shared" si="1"/>
        <v>0</v>
      </c>
      <c r="G38" s="348">
        <f t="shared" si="1"/>
        <v>0</v>
      </c>
      <c r="H38" s="348">
        <f t="shared" si="1"/>
        <v>0</v>
      </c>
      <c r="I38" s="348">
        <f t="shared" si="1"/>
        <v>0</v>
      </c>
      <c r="J38" s="348">
        <f t="shared" si="1"/>
        <v>0</v>
      </c>
      <c r="K38" s="115"/>
      <c r="L38" s="115"/>
      <c r="M38" s="115"/>
      <c r="N38" s="115"/>
      <c r="O38" s="115"/>
    </row>
    <row r="39" spans="1:15" ht="36.75" customHeight="1">
      <c r="A39" s="729" t="s">
        <v>133</v>
      </c>
      <c r="B39" s="729"/>
      <c r="C39" s="729"/>
      <c r="D39" s="729"/>
      <c r="E39" s="729"/>
      <c r="F39" s="729"/>
      <c r="G39" s="729"/>
      <c r="H39" s="729"/>
      <c r="I39" s="729"/>
      <c r="J39" s="729"/>
      <c r="K39" s="115"/>
      <c r="L39" s="115"/>
      <c r="M39" s="115"/>
      <c r="N39" s="115"/>
      <c r="O39" s="115"/>
    </row>
    <row r="40" spans="1:15" ht="20.100000000000001" hidden="1" customHeight="1">
      <c r="A40" s="44" t="s">
        <v>200</v>
      </c>
      <c r="B40" s="9"/>
      <c r="C40" s="64"/>
      <c r="D40" s="64"/>
      <c r="E40" s="64"/>
      <c r="F40" s="64"/>
      <c r="G40" s="64"/>
      <c r="H40" s="64"/>
      <c r="I40" s="64"/>
      <c r="J40" s="64"/>
    </row>
    <row r="41" spans="1:15" ht="20.100000000000001" hidden="1" customHeight="1">
      <c r="A41" s="32" t="s">
        <v>139</v>
      </c>
      <c r="B41" s="9">
        <v>3400</v>
      </c>
      <c r="C41" s="12"/>
      <c r="D41" s="12"/>
      <c r="E41" s="12"/>
      <c r="F41" s="12"/>
      <c r="G41" s="12"/>
      <c r="H41" s="12"/>
      <c r="I41" s="12"/>
      <c r="J41" s="12"/>
    </row>
    <row r="42" spans="1:15" ht="20.100000000000001" hidden="1" customHeight="1">
      <c r="A42" s="8" t="s">
        <v>80</v>
      </c>
      <c r="B42" s="4"/>
      <c r="C42" s="64"/>
      <c r="D42" s="64"/>
      <c r="E42" s="64"/>
      <c r="F42" s="64"/>
      <c r="G42" s="64"/>
      <c r="H42" s="64"/>
      <c r="I42" s="64"/>
      <c r="J42" s="64"/>
    </row>
    <row r="43" spans="1:15" ht="20.100000000000001" hidden="1" customHeight="1">
      <c r="A43" s="8" t="s">
        <v>79</v>
      </c>
      <c r="B43" s="9">
        <v>3410</v>
      </c>
      <c r="C43" s="12"/>
      <c r="D43" s="12"/>
      <c r="E43" s="12"/>
      <c r="F43" s="12"/>
      <c r="G43" s="12"/>
      <c r="H43" s="12"/>
      <c r="I43" s="12"/>
      <c r="J43" s="12"/>
    </row>
    <row r="44" spans="1:15" ht="20.100000000000001" hidden="1" customHeight="1">
      <c r="A44" s="8" t="s">
        <v>84</v>
      </c>
      <c r="B44" s="6">
        <v>3420</v>
      </c>
      <c r="C44" s="12"/>
      <c r="D44" s="12"/>
      <c r="E44" s="12"/>
      <c r="F44" s="12"/>
      <c r="G44" s="12"/>
      <c r="H44" s="12"/>
      <c r="I44" s="12"/>
      <c r="J44" s="12"/>
    </row>
    <row r="45" spans="1:15" ht="20.100000000000001" hidden="1" customHeight="1">
      <c r="A45" s="8" t="s">
        <v>105</v>
      </c>
      <c r="B45" s="9">
        <v>3430</v>
      </c>
      <c r="C45" s="12"/>
      <c r="D45" s="12"/>
      <c r="E45" s="12"/>
      <c r="F45" s="12"/>
      <c r="G45" s="12"/>
      <c r="H45" s="12"/>
      <c r="I45" s="12"/>
      <c r="J45" s="12"/>
    </row>
    <row r="46" spans="1:15" ht="20.100000000000001" hidden="1" customHeight="1">
      <c r="A46" s="8" t="s">
        <v>82</v>
      </c>
      <c r="B46" s="9"/>
      <c r="C46" s="64"/>
      <c r="D46" s="64"/>
      <c r="E46" s="64"/>
      <c r="F46" s="64"/>
      <c r="G46" s="64"/>
      <c r="H46" s="64"/>
      <c r="I46" s="64"/>
      <c r="J46" s="64"/>
    </row>
    <row r="47" spans="1:15" ht="20.100000000000001" hidden="1" customHeight="1">
      <c r="A47" s="8" t="s">
        <v>79</v>
      </c>
      <c r="B47" s="6">
        <v>3440</v>
      </c>
      <c r="C47" s="12"/>
      <c r="D47" s="12"/>
      <c r="E47" s="12"/>
      <c r="F47" s="12"/>
      <c r="G47" s="12"/>
      <c r="H47" s="12"/>
      <c r="I47" s="12"/>
      <c r="J47" s="12"/>
    </row>
    <row r="48" spans="1:15" ht="20.100000000000001" hidden="1" customHeight="1">
      <c r="A48" s="8" t="s">
        <v>84</v>
      </c>
      <c r="B48" s="6">
        <v>3450</v>
      </c>
      <c r="C48" s="12"/>
      <c r="D48" s="12"/>
      <c r="E48" s="12"/>
      <c r="F48" s="12"/>
      <c r="G48" s="12"/>
      <c r="H48" s="12"/>
      <c r="I48" s="12"/>
      <c r="J48" s="12"/>
    </row>
    <row r="49" spans="1:10" ht="20.100000000000001" hidden="1" customHeight="1">
      <c r="A49" s="8" t="s">
        <v>105</v>
      </c>
      <c r="B49" s="6">
        <v>3460</v>
      </c>
      <c r="C49" s="12"/>
      <c r="D49" s="12"/>
      <c r="E49" s="12"/>
      <c r="F49" s="12"/>
      <c r="G49" s="12"/>
      <c r="H49" s="12"/>
      <c r="I49" s="12"/>
      <c r="J49" s="12"/>
    </row>
    <row r="50" spans="1:10" ht="20.100000000000001" hidden="1" customHeight="1">
      <c r="A50" s="8" t="s">
        <v>100</v>
      </c>
      <c r="B50" s="6">
        <v>3470</v>
      </c>
      <c r="C50" s="12"/>
      <c r="D50" s="12"/>
      <c r="E50" s="12"/>
      <c r="F50" s="12"/>
      <c r="G50" s="12"/>
      <c r="H50" s="12"/>
      <c r="I50" s="12"/>
      <c r="J50" s="12"/>
    </row>
    <row r="51" spans="1:10" ht="20.100000000000001" hidden="1" customHeight="1">
      <c r="A51" s="8" t="s">
        <v>101</v>
      </c>
      <c r="B51" s="6">
        <v>3480</v>
      </c>
      <c r="C51" s="12"/>
      <c r="D51" s="12"/>
      <c r="E51" s="12"/>
      <c r="F51" s="12"/>
      <c r="G51" s="12"/>
      <c r="H51" s="12"/>
      <c r="I51" s="12"/>
      <c r="J51" s="12"/>
    </row>
    <row r="52" spans="1:10" ht="20.100000000000001" hidden="1" customHeight="1">
      <c r="A52" s="44" t="s">
        <v>201</v>
      </c>
      <c r="B52" s="9"/>
      <c r="C52" s="64"/>
      <c r="D52" s="64"/>
      <c r="E52" s="64"/>
      <c r="F52" s="64"/>
      <c r="G52" s="64"/>
      <c r="H52" s="64"/>
      <c r="I52" s="64"/>
      <c r="J52" s="64"/>
    </row>
    <row r="53" spans="1:10" ht="39.75" hidden="1" customHeight="1">
      <c r="A53" s="8" t="s">
        <v>215</v>
      </c>
      <c r="B53" s="9">
        <v>3490</v>
      </c>
      <c r="C53" s="12"/>
      <c r="D53" s="12"/>
      <c r="E53" s="12"/>
      <c r="F53" s="12"/>
      <c r="G53" s="12"/>
      <c r="H53" s="12"/>
      <c r="I53" s="12"/>
      <c r="J53" s="12"/>
    </row>
    <row r="54" spans="1:10" ht="20.100000000000001" hidden="1" customHeight="1">
      <c r="A54" s="8" t="s">
        <v>216</v>
      </c>
      <c r="B54" s="9">
        <v>3500</v>
      </c>
      <c r="C54" s="12"/>
      <c r="D54" s="12"/>
      <c r="E54" s="12"/>
      <c r="F54" s="12"/>
      <c r="G54" s="12"/>
      <c r="H54" s="12"/>
      <c r="I54" s="12"/>
      <c r="J54" s="12"/>
    </row>
    <row r="55" spans="1:10" ht="20.100000000000001" hidden="1" customHeight="1">
      <c r="A55" s="8" t="s">
        <v>83</v>
      </c>
      <c r="B55" s="9"/>
      <c r="C55" s="64"/>
      <c r="D55" s="64"/>
      <c r="E55" s="64"/>
      <c r="F55" s="64"/>
      <c r="G55" s="64"/>
      <c r="H55" s="64"/>
      <c r="I55" s="64"/>
      <c r="J55" s="64"/>
    </row>
    <row r="56" spans="1:10" ht="20.100000000000001" hidden="1" customHeight="1">
      <c r="A56" s="8" t="s">
        <v>79</v>
      </c>
      <c r="B56" s="6">
        <v>3510</v>
      </c>
      <c r="C56" s="12"/>
      <c r="D56" s="12"/>
      <c r="E56" s="12"/>
      <c r="F56" s="12"/>
      <c r="G56" s="12"/>
      <c r="H56" s="12"/>
      <c r="I56" s="12"/>
      <c r="J56" s="12"/>
    </row>
    <row r="57" spans="1:10" ht="20.100000000000001" hidden="1" customHeight="1">
      <c r="A57" s="8" t="s">
        <v>84</v>
      </c>
      <c r="B57" s="6">
        <v>3520</v>
      </c>
      <c r="C57" s="12"/>
      <c r="D57" s="12"/>
      <c r="E57" s="12"/>
      <c r="F57" s="12"/>
      <c r="G57" s="12"/>
      <c r="H57" s="12"/>
      <c r="I57" s="12"/>
      <c r="J57" s="12"/>
    </row>
    <row r="58" spans="1:10" ht="20.100000000000001" hidden="1" customHeight="1">
      <c r="A58" s="8" t="s">
        <v>105</v>
      </c>
      <c r="B58" s="6">
        <v>3530</v>
      </c>
      <c r="C58" s="12"/>
      <c r="D58" s="12"/>
      <c r="E58" s="12"/>
      <c r="F58" s="12"/>
      <c r="G58" s="12"/>
      <c r="H58" s="12"/>
      <c r="I58" s="12"/>
      <c r="J58" s="12"/>
    </row>
    <row r="59" spans="1:10" ht="20.100000000000001" hidden="1" customHeight="1">
      <c r="A59" s="8" t="s">
        <v>81</v>
      </c>
      <c r="B59" s="9"/>
      <c r="C59" s="64"/>
      <c r="D59" s="64"/>
      <c r="E59" s="64"/>
      <c r="F59" s="64"/>
      <c r="G59" s="64"/>
      <c r="H59" s="64"/>
      <c r="I59" s="64"/>
      <c r="J59" s="64"/>
    </row>
    <row r="60" spans="1:10" ht="20.100000000000001" hidden="1" customHeight="1">
      <c r="A60" s="8" t="s">
        <v>79</v>
      </c>
      <c r="B60" s="6">
        <v>3540</v>
      </c>
      <c r="C60" s="12"/>
      <c r="D60" s="12"/>
      <c r="E60" s="12"/>
      <c r="F60" s="12"/>
      <c r="G60" s="12"/>
      <c r="H60" s="12"/>
      <c r="I60" s="12"/>
      <c r="J60" s="12"/>
    </row>
    <row r="61" spans="1:10" ht="20.100000000000001" hidden="1" customHeight="1">
      <c r="A61" s="8" t="s">
        <v>84</v>
      </c>
      <c r="B61" s="6">
        <v>3550</v>
      </c>
      <c r="C61" s="12"/>
      <c r="D61" s="12"/>
      <c r="E61" s="12"/>
      <c r="F61" s="12"/>
      <c r="G61" s="12"/>
      <c r="H61" s="12"/>
      <c r="I61" s="12"/>
      <c r="J61" s="12"/>
    </row>
    <row r="62" spans="1:10" ht="20.100000000000001" hidden="1" customHeight="1">
      <c r="A62" s="8" t="s">
        <v>105</v>
      </c>
      <c r="B62" s="6">
        <v>3560</v>
      </c>
      <c r="C62" s="12"/>
      <c r="D62" s="12"/>
      <c r="E62" s="12"/>
      <c r="F62" s="12"/>
      <c r="G62" s="12"/>
      <c r="H62" s="12"/>
      <c r="I62" s="12"/>
      <c r="J62" s="12"/>
    </row>
    <row r="63" spans="1:10" ht="20.100000000000001" customHeight="1">
      <c r="A63" s="8" t="s">
        <v>97</v>
      </c>
      <c r="B63" s="6">
        <v>3570</v>
      </c>
      <c r="C63" s="12"/>
      <c r="D63" s="12"/>
      <c r="E63" s="12"/>
      <c r="F63" s="12"/>
      <c r="G63" s="12"/>
      <c r="H63" s="12"/>
      <c r="I63" s="12"/>
      <c r="J63" s="12"/>
    </row>
    <row r="64" spans="1:10" ht="20.100000000000001" customHeight="1">
      <c r="A64" s="44" t="s">
        <v>134</v>
      </c>
      <c r="B64" s="6">
        <v>3580</v>
      </c>
      <c r="C64" s="12">
        <f>(C41+C43+C44+C45+C47+C48+C49+C50+C51)-(C53+C54+C56+C57+C58+C60+C61+C62+C63)</f>
        <v>0</v>
      </c>
      <c r="D64" s="12">
        <f t="shared" ref="D64:J64" si="2">(D41+D43+D44+D45+D47+D48+D49+D50+D51)-(D53+D54+D56+D57+D58+D60+D61+D62+D63)</f>
        <v>0</v>
      </c>
      <c r="E64" s="12">
        <f t="shared" si="2"/>
        <v>0</v>
      </c>
      <c r="F64" s="12">
        <f t="shared" si="2"/>
        <v>0</v>
      </c>
      <c r="G64" s="12">
        <f t="shared" si="2"/>
        <v>0</v>
      </c>
      <c r="H64" s="12">
        <f t="shared" si="2"/>
        <v>0</v>
      </c>
      <c r="I64" s="12">
        <f t="shared" si="2"/>
        <v>0</v>
      </c>
      <c r="J64" s="12">
        <f t="shared" si="2"/>
        <v>0</v>
      </c>
    </row>
    <row r="65" spans="1:10" s="17" customFormat="1" ht="20.100000000000001" customHeight="1">
      <c r="A65" s="8" t="s">
        <v>20</v>
      </c>
      <c r="B65" s="6"/>
      <c r="C65" s="64"/>
      <c r="D65" s="64"/>
      <c r="E65" s="64"/>
      <c r="F65" s="64"/>
      <c r="G65" s="64"/>
      <c r="H65" s="64"/>
      <c r="I65" s="64"/>
      <c r="J65" s="64"/>
    </row>
    <row r="66" spans="1:10" s="86" customFormat="1" ht="20.100000000000001" customHeight="1">
      <c r="A66" s="82" t="s">
        <v>21</v>
      </c>
      <c r="B66" s="97">
        <v>3600</v>
      </c>
      <c r="C66" s="567">
        <v>486.5</v>
      </c>
      <c r="D66" s="567">
        <v>0</v>
      </c>
      <c r="E66" s="93">
        <v>2159.1</v>
      </c>
      <c r="F66" s="93"/>
      <c r="G66" s="93"/>
      <c r="H66" s="93"/>
      <c r="I66" s="93"/>
      <c r="J66" s="93"/>
    </row>
    <row r="67" spans="1:10" s="17" customFormat="1" ht="20.100000000000001" customHeight="1">
      <c r="A67" s="55" t="s">
        <v>140</v>
      </c>
      <c r="B67" s="6">
        <v>3610</v>
      </c>
      <c r="C67" s="541"/>
      <c r="D67" s="542"/>
      <c r="E67" s="65"/>
      <c r="F67" s="65"/>
      <c r="G67" s="65"/>
      <c r="H67" s="65"/>
      <c r="I67" s="65"/>
      <c r="J67" s="65"/>
    </row>
    <row r="68" spans="1:10" s="86" customFormat="1" ht="20.100000000000001" customHeight="1">
      <c r="A68" s="82" t="s">
        <v>43</v>
      </c>
      <c r="B68" s="568">
        <v>3620</v>
      </c>
      <c r="C68" s="567">
        <v>2159.1</v>
      </c>
      <c r="D68" s="567">
        <v>0</v>
      </c>
      <c r="E68" s="93">
        <v>2159.1</v>
      </c>
      <c r="F68" s="93">
        <f t="shared" ref="F68:J68" si="3">F69+F66+F67</f>
        <v>0</v>
      </c>
      <c r="G68" s="93">
        <f t="shared" si="3"/>
        <v>0</v>
      </c>
      <c r="H68" s="93">
        <f t="shared" si="3"/>
        <v>0</v>
      </c>
      <c r="I68" s="93">
        <f t="shared" si="3"/>
        <v>0</v>
      </c>
      <c r="J68" s="93">
        <f t="shared" si="3"/>
        <v>0</v>
      </c>
    </row>
    <row r="69" spans="1:10" s="17" customFormat="1" ht="24" customHeight="1">
      <c r="A69" s="10" t="s">
        <v>22</v>
      </c>
      <c r="B69" s="68">
        <v>3630</v>
      </c>
      <c r="C69" s="541">
        <f>C68-C66</f>
        <v>1672.6</v>
      </c>
      <c r="D69" s="541">
        <f>D68-D66</f>
        <v>0</v>
      </c>
      <c r="E69" s="541">
        <f t="shared" ref="E69" si="4">E68-E66</f>
        <v>0</v>
      </c>
      <c r="F69" s="541">
        <v>0</v>
      </c>
      <c r="G69" s="88">
        <f t="shared" ref="G69:J69" si="5">G21+G38+G64</f>
        <v>0</v>
      </c>
      <c r="H69" s="88">
        <f t="shared" si="5"/>
        <v>0</v>
      </c>
      <c r="I69" s="88">
        <f t="shared" si="5"/>
        <v>0</v>
      </c>
      <c r="J69" s="88">
        <f t="shared" si="5"/>
        <v>0</v>
      </c>
    </row>
    <row r="70" spans="1:10" s="17" customFormat="1" ht="20.100000000000001" customHeight="1">
      <c r="A70" s="2"/>
      <c r="B70" s="25"/>
      <c r="C70" s="27"/>
      <c r="D70" s="27"/>
      <c r="E70" s="27"/>
      <c r="F70" s="18"/>
      <c r="G70" s="26"/>
      <c r="H70" s="26"/>
      <c r="I70" s="26"/>
      <c r="J70" s="26"/>
    </row>
    <row r="71" spans="1:10" s="17" customFormat="1" ht="20.100000000000001" customHeight="1">
      <c r="A71" s="2"/>
      <c r="B71" s="25"/>
      <c r="C71" s="27"/>
      <c r="D71" s="27"/>
      <c r="E71" s="27"/>
      <c r="F71" s="18"/>
      <c r="G71" s="26"/>
      <c r="H71" s="26"/>
      <c r="I71" s="694" t="s">
        <v>332</v>
      </c>
      <c r="J71" s="694"/>
    </row>
    <row r="72" spans="1:10" s="3" customFormat="1" ht="20.100000000000001" customHeight="1">
      <c r="A72" s="43" t="s">
        <v>208</v>
      </c>
      <c r="B72" s="1"/>
      <c r="C72" s="698" t="s">
        <v>92</v>
      </c>
      <c r="D72" s="698"/>
      <c r="E72" s="698"/>
      <c r="F72" s="699"/>
      <c r="G72" s="14"/>
      <c r="H72" s="700" t="s">
        <v>338</v>
      </c>
      <c r="I72" s="700"/>
      <c r="J72" s="700"/>
    </row>
    <row r="73" spans="1:10" ht="20.100000000000001" customHeight="1">
      <c r="A73" s="50" t="s">
        <v>209</v>
      </c>
      <c r="B73" s="3"/>
      <c r="C73" s="695" t="s">
        <v>69</v>
      </c>
      <c r="D73" s="695"/>
      <c r="E73" s="695"/>
      <c r="F73" s="695"/>
      <c r="G73" s="23"/>
      <c r="H73" s="710" t="s">
        <v>88</v>
      </c>
      <c r="I73" s="710"/>
      <c r="J73" s="710"/>
    </row>
    <row r="74" spans="1:10">
      <c r="C74" s="4"/>
      <c r="D74" s="4"/>
      <c r="E74" s="4"/>
    </row>
    <row r="75" spans="1:10">
      <c r="C75" s="4"/>
      <c r="D75" s="4"/>
      <c r="E75" s="4"/>
    </row>
    <row r="76" spans="1:10">
      <c r="C76" s="4"/>
      <c r="D76" s="4"/>
      <c r="E76" s="4"/>
    </row>
    <row r="77" spans="1:10">
      <c r="C77" s="4"/>
      <c r="D77" s="4"/>
      <c r="E77" s="4"/>
    </row>
    <row r="78" spans="1:10">
      <c r="C78" s="4"/>
      <c r="D78" s="4"/>
      <c r="E78" s="4"/>
    </row>
    <row r="79" spans="1:10">
      <c r="C79" s="4"/>
      <c r="D79" s="4"/>
      <c r="E79" s="4"/>
    </row>
    <row r="80" spans="1:10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</sheetData>
  <mergeCells count="16">
    <mergeCell ref="C73:F73"/>
    <mergeCell ref="H73:J73"/>
    <mergeCell ref="A22:J22"/>
    <mergeCell ref="A9:J9"/>
    <mergeCell ref="A39:J39"/>
    <mergeCell ref="C72:F72"/>
    <mergeCell ref="H72:J72"/>
    <mergeCell ref="I71:J71"/>
    <mergeCell ref="A4:J4"/>
    <mergeCell ref="A6:A7"/>
    <mergeCell ref="B6:B7"/>
    <mergeCell ref="C6:C7"/>
    <mergeCell ref="F6:F7"/>
    <mergeCell ref="G6:J6"/>
    <mergeCell ref="E6:E7"/>
    <mergeCell ref="D6:D7"/>
  </mergeCells>
  <phoneticPr fontId="3" type="noConversion"/>
  <pageMargins left="0.11811023622047245" right="0" top="0.98425196850393704" bottom="0.78740157480314965" header="0.19685039370078741" footer="0.23622047244094491"/>
  <pageSetup paperSize="9" scale="63" fitToHeight="2" orientation="landscape" r:id="rId1"/>
  <headerFooter alignWithMargins="0">
    <oddHeader xml:space="preserve">&amp;C&amp;"Times New Roman,обычный"&amp;14 
9&amp;R&amp;"Times New Roman,обычный"&amp;14
Продовження додатка 1
</oddHeader>
  </headerFooter>
  <rowBreaks count="1" manualBreakCount="1"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I194"/>
  <sheetViews>
    <sheetView topLeftCell="E1" zoomScale="60" zoomScaleNormal="60" zoomScaleSheetLayoutView="50" workbookViewId="0">
      <selection activeCell="M1" sqref="M1:AI1048576"/>
    </sheetView>
  </sheetViews>
  <sheetFormatPr defaultRowHeight="18.75"/>
  <cols>
    <col min="1" max="1" width="49.42578125" style="3" customWidth="1"/>
    <col min="2" max="2" width="10.42578125" style="21" customWidth="1"/>
    <col min="3" max="5" width="19.42578125" style="21" customWidth="1"/>
    <col min="6" max="6" width="19.42578125" style="3" customWidth="1"/>
    <col min="7" max="8" width="17.140625" style="3" customWidth="1"/>
    <col min="9" max="9" width="17" style="3" customWidth="1"/>
    <col min="10" max="10" width="17.28515625" style="3" customWidth="1"/>
    <col min="11" max="11" width="9.5703125" style="276" customWidth="1"/>
    <col min="12" max="12" width="9.85546875" style="3" customWidth="1"/>
    <col min="13" max="13" width="9.140625" style="3" hidden="1" customWidth="1"/>
    <col min="14" max="14" width="11" style="297" hidden="1" customWidth="1"/>
    <col min="15" max="15" width="13.85546875" style="3" hidden="1" customWidth="1"/>
    <col min="16" max="16" width="12.7109375" style="3" hidden="1" customWidth="1"/>
    <col min="17" max="17" width="22.7109375" style="3" hidden="1" customWidth="1"/>
    <col min="18" max="18" width="16.5703125" style="3" hidden="1" customWidth="1"/>
    <col min="19" max="19" width="15.85546875" style="3" hidden="1" customWidth="1"/>
    <col min="20" max="21" width="13.85546875" style="3" hidden="1" customWidth="1"/>
    <col min="22" max="22" width="13.7109375" style="257" hidden="1" customWidth="1"/>
    <col min="23" max="23" width="6.28515625" style="3" hidden="1" customWidth="1"/>
    <col min="24" max="24" width="12.85546875" style="3" hidden="1" customWidth="1"/>
    <col min="25" max="25" width="18.42578125" style="3" hidden="1" customWidth="1"/>
    <col min="26" max="26" width="13.140625" style="3" hidden="1" customWidth="1"/>
    <col min="27" max="27" width="15.5703125" style="3" hidden="1" customWidth="1"/>
    <col min="28" max="28" width="16.28515625" style="3" hidden="1" customWidth="1"/>
    <col min="29" max="29" width="13.42578125" style="3" hidden="1" customWidth="1"/>
    <col min="30" max="30" width="12.28515625" style="3" hidden="1" customWidth="1"/>
    <col min="31" max="31" width="11.28515625" style="3" hidden="1" customWidth="1"/>
    <col min="32" max="32" width="12" style="3" hidden="1" customWidth="1"/>
    <col min="33" max="33" width="10.7109375" style="3" hidden="1" customWidth="1"/>
    <col min="34" max="34" width="12" style="3" hidden="1" customWidth="1"/>
    <col min="35" max="35" width="9.140625" style="3" hidden="1" customWidth="1"/>
    <col min="36" max="39" width="9.140625" style="3" customWidth="1"/>
    <col min="40" max="16384" width="9.140625" style="3"/>
  </cols>
  <sheetData>
    <row r="1" spans="1:34">
      <c r="M1" s="114"/>
      <c r="N1" s="114"/>
      <c r="O1" s="114"/>
      <c r="P1" s="305"/>
      <c r="Q1" s="305"/>
      <c r="R1" s="114"/>
      <c r="S1" s="114"/>
      <c r="T1" s="114"/>
      <c r="U1" s="114"/>
      <c r="V1" s="306"/>
      <c r="W1" s="114"/>
    </row>
    <row r="2" spans="1:34" s="378" customFormat="1">
      <c r="B2" s="377"/>
      <c r="C2" s="377"/>
      <c r="D2" s="377"/>
      <c r="E2" s="377"/>
      <c r="K2" s="377"/>
      <c r="M2" s="114"/>
      <c r="N2" s="114"/>
      <c r="O2" s="114"/>
      <c r="P2" s="305"/>
      <c r="Q2" s="305"/>
      <c r="R2" s="114"/>
      <c r="S2" s="114"/>
      <c r="T2" s="114"/>
      <c r="U2" s="114"/>
      <c r="V2" s="306"/>
      <c r="W2" s="114"/>
    </row>
    <row r="3" spans="1:34" s="378" customFormat="1">
      <c r="B3" s="377"/>
      <c r="C3" s="377"/>
      <c r="D3" s="377"/>
      <c r="E3" s="377"/>
      <c r="K3" s="377"/>
      <c r="M3" s="114"/>
      <c r="N3" s="114"/>
      <c r="O3" s="269"/>
      <c r="P3" s="329" t="s">
        <v>457</v>
      </c>
      <c r="Q3" s="330"/>
      <c r="R3" s="331" t="s">
        <v>392</v>
      </c>
      <c r="S3" s="332"/>
      <c r="T3" s="332"/>
      <c r="U3" s="333"/>
      <c r="V3" s="306"/>
      <c r="W3" s="114"/>
    </row>
    <row r="4" spans="1:34" s="378" customFormat="1">
      <c r="B4" s="377"/>
      <c r="C4" s="377"/>
      <c r="D4" s="377"/>
      <c r="E4" s="377"/>
      <c r="K4" s="377"/>
      <c r="M4" s="114"/>
      <c r="N4" s="114"/>
      <c r="O4" s="334"/>
      <c r="P4" s="335"/>
      <c r="Q4" s="336"/>
      <c r="R4" s="319" t="s">
        <v>445</v>
      </c>
      <c r="S4" s="320" t="s">
        <v>442</v>
      </c>
      <c r="T4" s="320" t="s">
        <v>443</v>
      </c>
      <c r="U4" s="320" t="s">
        <v>440</v>
      </c>
      <c r="V4" s="306"/>
      <c r="W4" s="114"/>
    </row>
    <row r="5" spans="1:34">
      <c r="M5" s="112"/>
      <c r="O5" s="730" t="s">
        <v>454</v>
      </c>
      <c r="P5" s="731"/>
      <c r="Q5" s="732"/>
      <c r="R5" s="385">
        <v>3710</v>
      </c>
      <c r="S5" s="385"/>
      <c r="T5" s="385"/>
      <c r="U5" s="385"/>
      <c r="V5" s="317"/>
      <c r="W5" s="112"/>
    </row>
    <row r="6" spans="1:34">
      <c r="M6" s="114"/>
      <c r="N6" s="112"/>
      <c r="O6" s="733" t="s">
        <v>455</v>
      </c>
      <c r="P6" s="734"/>
      <c r="Q6" s="735"/>
      <c r="R6" s="386"/>
      <c r="S6" s="386"/>
      <c r="T6" s="386"/>
      <c r="U6" s="386"/>
      <c r="V6" s="317"/>
      <c r="W6" s="114"/>
    </row>
    <row r="7" spans="1:34">
      <c r="A7" s="692" t="s">
        <v>174</v>
      </c>
      <c r="B7" s="692"/>
      <c r="C7" s="692"/>
      <c r="D7" s="692"/>
      <c r="E7" s="692"/>
      <c r="F7" s="692"/>
      <c r="G7" s="692"/>
      <c r="H7" s="692"/>
      <c r="I7" s="692"/>
      <c r="J7" s="692"/>
      <c r="M7" s="114"/>
      <c r="N7" s="114"/>
      <c r="O7" s="733" t="s">
        <v>456</v>
      </c>
      <c r="P7" s="734"/>
      <c r="Q7" s="735"/>
      <c r="R7" s="386"/>
      <c r="S7" s="386"/>
      <c r="T7" s="386"/>
      <c r="U7" s="386"/>
      <c r="V7" s="317" t="s">
        <v>437</v>
      </c>
      <c r="W7" s="114"/>
      <c r="Y7" s="114"/>
      <c r="AB7" s="297"/>
      <c r="AC7" s="297"/>
      <c r="AD7" s="297"/>
      <c r="AE7" s="297"/>
      <c r="AF7" s="297"/>
      <c r="AG7" s="297"/>
      <c r="AH7" s="297"/>
    </row>
    <row r="8" spans="1:34" s="233" customFormat="1" hidden="1">
      <c r="A8" s="232"/>
      <c r="B8" s="232"/>
      <c r="C8" s="343">
        <v>2018</v>
      </c>
      <c r="D8" s="343">
        <v>2019</v>
      </c>
      <c r="E8" s="343">
        <v>2019</v>
      </c>
      <c r="F8" s="343">
        <v>2020</v>
      </c>
      <c r="G8" s="232"/>
      <c r="H8" s="232"/>
      <c r="I8" s="232"/>
      <c r="J8" s="232"/>
      <c r="K8" s="289"/>
      <c r="M8" s="114"/>
      <c r="N8" s="114"/>
      <c r="O8" s="730"/>
      <c r="P8" s="731"/>
      <c r="Q8" s="732"/>
      <c r="R8" s="384"/>
      <c r="S8" s="384"/>
      <c r="T8" s="384"/>
      <c r="U8" s="384"/>
      <c r="V8" s="317">
        <f>SUM(R8:U8)</f>
        <v>0</v>
      </c>
      <c r="W8" s="114"/>
      <c r="Y8" s="114"/>
      <c r="Z8" s="3"/>
      <c r="AA8" s="343">
        <v>2018</v>
      </c>
      <c r="AB8" s="343">
        <v>2019</v>
      </c>
      <c r="AC8" s="343">
        <v>2019</v>
      </c>
      <c r="AD8" s="343">
        <v>2020</v>
      </c>
    </row>
    <row r="9" spans="1:34" ht="76.5" customHeight="1">
      <c r="A9" s="696" t="s">
        <v>195</v>
      </c>
      <c r="B9" s="697" t="s">
        <v>7</v>
      </c>
      <c r="C9" s="697" t="s">
        <v>17</v>
      </c>
      <c r="D9" s="705" t="s">
        <v>291</v>
      </c>
      <c r="E9" s="739" t="s">
        <v>287</v>
      </c>
      <c r="F9" s="697" t="s">
        <v>9</v>
      </c>
      <c r="G9" s="697" t="s">
        <v>288</v>
      </c>
      <c r="H9" s="697"/>
      <c r="I9" s="697"/>
      <c r="J9" s="697"/>
      <c r="M9" s="114"/>
      <c r="N9" s="114"/>
      <c r="O9" s="337" t="s">
        <v>423</v>
      </c>
      <c r="P9" s="338"/>
      <c r="Q9" s="339"/>
      <c r="R9" s="321"/>
      <c r="S9" s="342"/>
      <c r="T9" s="342"/>
      <c r="U9" s="342"/>
      <c r="V9" s="317">
        <f>SUM(R9:U9)</f>
        <v>0</v>
      </c>
      <c r="W9" s="114"/>
      <c r="Y9" s="696" t="s">
        <v>195</v>
      </c>
      <c r="Z9" s="697" t="s">
        <v>7</v>
      </c>
      <c r="AA9" s="697" t="s">
        <v>17</v>
      </c>
      <c r="AB9" s="292" t="s">
        <v>291</v>
      </c>
      <c r="AC9" s="301" t="s">
        <v>287</v>
      </c>
      <c r="AD9" s="296" t="s">
        <v>9</v>
      </c>
      <c r="AE9" s="736" t="s">
        <v>288</v>
      </c>
      <c r="AF9" s="737"/>
      <c r="AG9" s="737"/>
      <c r="AH9" s="738"/>
    </row>
    <row r="10" spans="1:34" ht="26.25" customHeight="1">
      <c r="A10" s="696"/>
      <c r="B10" s="697"/>
      <c r="C10" s="697"/>
      <c r="D10" s="709"/>
      <c r="E10" s="740"/>
      <c r="F10" s="697"/>
      <c r="G10" s="15" t="s">
        <v>154</v>
      </c>
      <c r="H10" s="15" t="s">
        <v>155</v>
      </c>
      <c r="I10" s="15" t="s">
        <v>156</v>
      </c>
      <c r="J10" s="15" t="s">
        <v>61</v>
      </c>
      <c r="M10" s="114"/>
      <c r="O10" s="299"/>
      <c r="P10" s="299"/>
      <c r="Q10" s="299"/>
      <c r="R10" s="299"/>
      <c r="S10" s="299"/>
      <c r="T10" s="299"/>
      <c r="U10" s="299"/>
      <c r="V10" s="317"/>
      <c r="W10" s="114"/>
      <c r="Y10" s="696"/>
      <c r="Z10" s="697"/>
      <c r="AA10" s="697"/>
      <c r="AB10" s="293"/>
      <c r="AC10" s="302"/>
      <c r="AD10" s="296"/>
      <c r="AE10" s="300" t="s">
        <v>154</v>
      </c>
      <c r="AF10" s="300" t="s">
        <v>155</v>
      </c>
      <c r="AG10" s="300" t="s">
        <v>156</v>
      </c>
      <c r="AH10" s="300" t="s">
        <v>61</v>
      </c>
    </row>
    <row r="11" spans="1:34" ht="24" customHeight="1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M11" s="297"/>
      <c r="O11" s="299"/>
      <c r="P11" s="299"/>
      <c r="Q11" s="299"/>
      <c r="R11" s="299"/>
      <c r="S11" s="299"/>
      <c r="T11" s="299"/>
      <c r="U11" s="299"/>
      <c r="V11" s="317"/>
      <c r="W11" s="299"/>
      <c r="Y11" s="295">
        <v>1</v>
      </c>
      <c r="Z11" s="296">
        <v>2</v>
      </c>
      <c r="AA11" s="11">
        <v>3</v>
      </c>
      <c r="AB11" s="11">
        <v>4</v>
      </c>
      <c r="AC11" s="11">
        <v>5</v>
      </c>
      <c r="AD11" s="11">
        <v>6</v>
      </c>
      <c r="AE11" s="11">
        <v>7</v>
      </c>
      <c r="AF11" s="11">
        <v>8</v>
      </c>
      <c r="AG11" s="11">
        <v>9</v>
      </c>
      <c r="AH11" s="11">
        <v>10</v>
      </c>
    </row>
    <row r="12" spans="1:34" s="5" customFormat="1" ht="42.75" customHeight="1">
      <c r="A12" s="82" t="s">
        <v>72</v>
      </c>
      <c r="B12" s="87">
        <v>4000</v>
      </c>
      <c r="C12" s="92">
        <f t="shared" ref="C12:I12" si="0">SUM(C13:C17)</f>
        <v>659</v>
      </c>
      <c r="D12" s="92">
        <f t="shared" si="0"/>
        <v>5352</v>
      </c>
      <c r="E12" s="92">
        <f>SUM(E14:E17)</f>
        <v>1918.3</v>
      </c>
      <c r="F12" s="92">
        <f t="shared" si="0"/>
        <v>5710</v>
      </c>
      <c r="G12" s="92">
        <f t="shared" si="0"/>
        <v>4210</v>
      </c>
      <c r="H12" s="92">
        <f t="shared" si="0"/>
        <v>500</v>
      </c>
      <c r="I12" s="92">
        <f t="shared" si="0"/>
        <v>500</v>
      </c>
      <c r="J12" s="92">
        <f>SUM(J13:J17)</f>
        <v>500</v>
      </c>
      <c r="K12" s="275"/>
      <c r="M12" s="112"/>
      <c r="N12" s="112"/>
      <c r="O12" s="299"/>
      <c r="P12" s="317">
        <v>2020</v>
      </c>
      <c r="Q12" s="317" t="s">
        <v>439</v>
      </c>
      <c r="R12" s="320" t="s">
        <v>441</v>
      </c>
      <c r="S12" s="320" t="s">
        <v>442</v>
      </c>
      <c r="T12" s="320" t="s">
        <v>443</v>
      </c>
      <c r="U12" s="320" t="s">
        <v>444</v>
      </c>
      <c r="V12" s="322" t="s">
        <v>437</v>
      </c>
      <c r="W12" s="318"/>
      <c r="Y12" s="82" t="s">
        <v>72</v>
      </c>
      <c r="Z12" s="87">
        <v>4000</v>
      </c>
      <c r="AA12" s="309">
        <f t="shared" ref="AA12:AG12" si="1">SUM(AA13:AA17)</f>
        <v>1052.4000000000001</v>
      </c>
      <c r="AB12" s="309">
        <f t="shared" si="1"/>
        <v>5352</v>
      </c>
      <c r="AC12" s="309">
        <f t="shared" si="1"/>
        <v>0</v>
      </c>
      <c r="AD12" s="309">
        <f t="shared" si="1"/>
        <v>5710</v>
      </c>
      <c r="AE12" s="309">
        <f t="shared" si="1"/>
        <v>4210</v>
      </c>
      <c r="AF12" s="309">
        <f t="shared" si="1"/>
        <v>500</v>
      </c>
      <c r="AG12" s="309">
        <f t="shared" si="1"/>
        <v>500</v>
      </c>
      <c r="AH12" s="309">
        <f>SUM(AH13:AH17)</f>
        <v>500</v>
      </c>
    </row>
    <row r="13" spans="1:34" ht="37.5" customHeight="1">
      <c r="A13" s="8" t="s">
        <v>1</v>
      </c>
      <c r="B13" s="61" t="s">
        <v>179</v>
      </c>
      <c r="C13" s="96"/>
      <c r="D13" s="96"/>
      <c r="F13" s="12">
        <f>G13+H13+I13+J13</f>
        <v>0</v>
      </c>
      <c r="G13" s="12"/>
      <c r="H13" s="12"/>
      <c r="I13" s="12"/>
      <c r="J13" s="12"/>
      <c r="M13" s="114"/>
      <c r="N13" s="114"/>
      <c r="O13" s="742" t="s">
        <v>2</v>
      </c>
      <c r="P13" s="743"/>
      <c r="Q13" s="744"/>
      <c r="R13" s="387">
        <v>400</v>
      </c>
      <c r="S13" s="387">
        <v>400</v>
      </c>
      <c r="T13" s="387">
        <v>400</v>
      </c>
      <c r="U13" s="387">
        <v>400</v>
      </c>
      <c r="V13" s="317">
        <f>SUM(R13:U13)</f>
        <v>1600</v>
      </c>
      <c r="W13" s="299"/>
      <c r="Y13" s="8" t="s">
        <v>1</v>
      </c>
      <c r="Z13" s="61" t="s">
        <v>179</v>
      </c>
      <c r="AA13" s="311"/>
      <c r="AB13" s="311"/>
      <c r="AC13" s="311"/>
      <c r="AD13" s="312">
        <f>AE13+AF13+AG13+AH13</f>
        <v>0</v>
      </c>
      <c r="AE13" s="312"/>
      <c r="AF13" s="312"/>
      <c r="AG13" s="312"/>
      <c r="AH13" s="312"/>
    </row>
    <row r="14" spans="1:34" ht="51" customHeight="1">
      <c r="A14" s="158" t="s">
        <v>2</v>
      </c>
      <c r="B14" s="182">
        <v>4020</v>
      </c>
      <c r="C14" s="183">
        <v>401.8</v>
      </c>
      <c r="D14" s="183">
        <v>4367.7</v>
      </c>
      <c r="E14" s="184">
        <f>357.8+100</f>
        <v>457.8</v>
      </c>
      <c r="F14" s="184">
        <f>G14+H14+I14+J14</f>
        <v>1600</v>
      </c>
      <c r="G14" s="184">
        <v>400</v>
      </c>
      <c r="H14" s="184">
        <v>400</v>
      </c>
      <c r="I14" s="184">
        <v>400</v>
      </c>
      <c r="J14" s="184">
        <v>400</v>
      </c>
      <c r="K14" s="124"/>
      <c r="M14" s="114"/>
      <c r="N14" s="114"/>
      <c r="O14" s="742" t="s">
        <v>16</v>
      </c>
      <c r="P14" s="743"/>
      <c r="Q14" s="744"/>
      <c r="R14" s="387">
        <v>100</v>
      </c>
      <c r="S14" s="387">
        <v>100</v>
      </c>
      <c r="T14" s="387">
        <v>100</v>
      </c>
      <c r="U14" s="387">
        <v>100</v>
      </c>
      <c r="V14" s="317">
        <f>SUM(R14:U14)</f>
        <v>400</v>
      </c>
      <c r="W14" s="299"/>
      <c r="Y14" s="158" t="s">
        <v>2</v>
      </c>
      <c r="Z14" s="182">
        <v>4020</v>
      </c>
      <c r="AA14" s="313">
        <f>V36+V39</f>
        <v>651.1</v>
      </c>
      <c r="AB14" s="313">
        <f>V21+V25</f>
        <v>4367.7</v>
      </c>
      <c r="AC14" s="313"/>
      <c r="AD14" s="314">
        <f>AE14+AF14+AG14+AH14</f>
        <v>1600</v>
      </c>
      <c r="AE14" s="314">
        <f>R9+R13</f>
        <v>400</v>
      </c>
      <c r="AF14" s="314">
        <f>S9+S13</f>
        <v>400</v>
      </c>
      <c r="AG14" s="314">
        <f>T9+T13</f>
        <v>400</v>
      </c>
      <c r="AH14" s="314">
        <f>U9+U13</f>
        <v>400</v>
      </c>
    </row>
    <row r="15" spans="1:34" ht="36.75" customHeight="1">
      <c r="A15" s="8" t="s">
        <v>16</v>
      </c>
      <c r="B15" s="61">
        <v>4030</v>
      </c>
      <c r="C15" s="291"/>
      <c r="D15" s="96">
        <v>400</v>
      </c>
      <c r="E15" s="109">
        <f>80.5+100</f>
        <v>180.5</v>
      </c>
      <c r="F15" s="12">
        <f>G15+H15+I15+J15</f>
        <v>400</v>
      </c>
      <c r="G15" s="12">
        <v>100</v>
      </c>
      <c r="H15" s="12">
        <v>100</v>
      </c>
      <c r="I15" s="12">
        <v>100</v>
      </c>
      <c r="J15" s="12">
        <v>100</v>
      </c>
      <c r="M15" s="114"/>
      <c r="N15" s="114"/>
      <c r="O15" s="193"/>
      <c r="P15" s="193"/>
      <c r="Q15" s="193"/>
      <c r="R15" s="193"/>
      <c r="S15" s="193"/>
      <c r="T15" s="193"/>
      <c r="U15" s="193"/>
      <c r="V15" s="193"/>
      <c r="W15" s="299"/>
      <c r="Y15" s="8" t="s">
        <v>16</v>
      </c>
      <c r="Z15" s="61">
        <v>4030</v>
      </c>
      <c r="AA15" s="315">
        <f>V40</f>
        <v>287.3</v>
      </c>
      <c r="AB15" s="311">
        <f>V26</f>
        <v>400</v>
      </c>
      <c r="AC15" s="311"/>
      <c r="AD15" s="312">
        <f>AE15+AF15+AG15+AH15</f>
        <v>400</v>
      </c>
      <c r="AE15" s="312">
        <f>R14</f>
        <v>100</v>
      </c>
      <c r="AF15" s="312">
        <f>S14</f>
        <v>100</v>
      </c>
      <c r="AG15" s="312">
        <f>T14</f>
        <v>100</v>
      </c>
      <c r="AH15" s="312">
        <f>U14</f>
        <v>100</v>
      </c>
    </row>
    <row r="16" spans="1:34" ht="20.100000000000001" customHeight="1">
      <c r="A16" s="8" t="s">
        <v>3</v>
      </c>
      <c r="B16" s="60">
        <v>4040</v>
      </c>
      <c r="C16" s="291">
        <v>87.6</v>
      </c>
      <c r="D16" s="96"/>
      <c r="E16" s="109"/>
      <c r="F16" s="12">
        <f>G16+H16+I16+J16</f>
        <v>0</v>
      </c>
      <c r="G16" s="12"/>
      <c r="H16" s="12"/>
      <c r="I16" s="12"/>
      <c r="J16" s="12"/>
      <c r="M16" s="297"/>
      <c r="O16" s="299"/>
      <c r="P16" s="299"/>
      <c r="Q16" s="299"/>
      <c r="R16" s="303"/>
      <c r="S16" s="303"/>
      <c r="T16" s="303"/>
      <c r="U16" s="303"/>
      <c r="V16" s="317"/>
      <c r="W16" s="299"/>
      <c r="Y16" s="8" t="s">
        <v>3</v>
      </c>
      <c r="Z16" s="60">
        <v>4040</v>
      </c>
      <c r="AA16" s="315"/>
      <c r="AB16" s="311"/>
      <c r="AC16" s="311"/>
      <c r="AD16" s="312">
        <f>AE16+AF16+AG16+AH16</f>
        <v>0</v>
      </c>
      <c r="AE16" s="312"/>
      <c r="AF16" s="312"/>
      <c r="AG16" s="312"/>
      <c r="AH16" s="312"/>
    </row>
    <row r="17" spans="1:34" ht="42.75" customHeight="1">
      <c r="A17" s="8" t="s">
        <v>57</v>
      </c>
      <c r="B17" s="61">
        <v>4050</v>
      </c>
      <c r="C17" s="291">
        <f>SUM(C18:C19)</f>
        <v>169.6</v>
      </c>
      <c r="D17" s="96">
        <f t="shared" ref="D17:J17" si="2">SUM(D18:D19)</f>
        <v>584.29999999999995</v>
      </c>
      <c r="E17" s="291">
        <f t="shared" si="2"/>
        <v>1280</v>
      </c>
      <c r="F17" s="96">
        <f t="shared" si="2"/>
        <v>3710</v>
      </c>
      <c r="G17" s="96">
        <f>G18</f>
        <v>3710</v>
      </c>
      <c r="H17" s="96">
        <f t="shared" si="2"/>
        <v>0</v>
      </c>
      <c r="I17" s="96">
        <f t="shared" si="2"/>
        <v>0</v>
      </c>
      <c r="J17" s="96">
        <f t="shared" si="2"/>
        <v>0</v>
      </c>
      <c r="M17" s="297"/>
      <c r="N17" s="378"/>
      <c r="O17" s="193"/>
      <c r="P17" s="193"/>
      <c r="Q17" s="193"/>
      <c r="R17" s="193"/>
      <c r="S17" s="193"/>
      <c r="T17" s="193"/>
      <c r="U17" s="193"/>
      <c r="V17" s="324"/>
      <c r="W17" s="379"/>
      <c r="Y17" s="8" t="s">
        <v>57</v>
      </c>
      <c r="Z17" s="61">
        <v>4050</v>
      </c>
      <c r="AA17" s="315">
        <f>SUM(AA18:AA19)</f>
        <v>114</v>
      </c>
      <c r="AB17" s="311">
        <f t="shared" ref="AB17:AH17" si="3">SUM(AB18:AB19)</f>
        <v>584.29999999999995</v>
      </c>
      <c r="AC17" s="311"/>
      <c r="AD17" s="311">
        <f t="shared" si="3"/>
        <v>3710</v>
      </c>
      <c r="AE17" s="311">
        <f t="shared" si="3"/>
        <v>3710</v>
      </c>
      <c r="AF17" s="311">
        <f t="shared" si="3"/>
        <v>0</v>
      </c>
      <c r="AG17" s="311">
        <f t="shared" si="3"/>
        <v>0</v>
      </c>
      <c r="AH17" s="311">
        <f t="shared" si="3"/>
        <v>0</v>
      </c>
    </row>
    <row r="18" spans="1:34" ht="30" customHeight="1">
      <c r="A18" s="185" t="s">
        <v>360</v>
      </c>
      <c r="B18" s="186" t="s">
        <v>317</v>
      </c>
      <c r="C18" s="186">
        <v>169.6</v>
      </c>
      <c r="D18" s="186">
        <v>584.29999999999995</v>
      </c>
      <c r="E18" s="490">
        <f>1130+150</f>
        <v>1280</v>
      </c>
      <c r="F18" s="184">
        <f>G18+H18+I18+J18</f>
        <v>3710</v>
      </c>
      <c r="G18" s="490">
        <v>3710</v>
      </c>
      <c r="H18" s="490"/>
      <c r="I18" s="490"/>
      <c r="J18" s="491"/>
      <c r="M18" s="112"/>
      <c r="N18" s="307" t="s">
        <v>446</v>
      </c>
      <c r="O18" s="269"/>
      <c r="P18" s="325" t="s">
        <v>434</v>
      </c>
      <c r="Q18" s="325" t="s">
        <v>453</v>
      </c>
      <c r="R18" s="326"/>
      <c r="S18" s="321"/>
      <c r="T18" s="327"/>
      <c r="U18" s="321"/>
      <c r="V18" s="317"/>
      <c r="W18" s="379"/>
      <c r="Y18" s="185" t="s">
        <v>360</v>
      </c>
      <c r="Z18" s="186" t="s">
        <v>317</v>
      </c>
      <c r="AA18" s="316">
        <f>V35</f>
        <v>114</v>
      </c>
      <c r="AB18" s="316">
        <f>V20</f>
        <v>584.29999999999995</v>
      </c>
      <c r="AC18" s="316"/>
      <c r="AD18" s="314">
        <f>AE18+AF18+AG18+AH18</f>
        <v>3710</v>
      </c>
      <c r="AE18" s="316">
        <f>R5</f>
        <v>3710</v>
      </c>
      <c r="AF18" s="316">
        <f>S6</f>
        <v>0</v>
      </c>
      <c r="AG18" s="316">
        <f>T7</f>
        <v>0</v>
      </c>
      <c r="AH18" s="316">
        <f>U8</f>
        <v>0</v>
      </c>
    </row>
    <row r="19" spans="1:34" ht="28.5" customHeight="1">
      <c r="A19" s="185" t="s">
        <v>361</v>
      </c>
      <c r="B19" s="186" t="s">
        <v>362</v>
      </c>
      <c r="C19" s="186"/>
      <c r="D19" s="186"/>
      <c r="E19" s="186"/>
      <c r="F19" s="184">
        <f>G19+H19+I19+J19</f>
        <v>0</v>
      </c>
      <c r="G19" s="187"/>
      <c r="H19" s="187"/>
      <c r="I19" s="187"/>
      <c r="J19" s="187"/>
      <c r="K19" s="290"/>
      <c r="L19" s="234"/>
      <c r="M19" s="114"/>
      <c r="N19" s="308"/>
      <c r="O19" s="334"/>
      <c r="P19" s="335"/>
      <c r="Q19" s="336"/>
      <c r="R19" s="319" t="s">
        <v>436</v>
      </c>
      <c r="S19" s="320" t="s">
        <v>395</v>
      </c>
      <c r="T19" s="320" t="s">
        <v>396</v>
      </c>
      <c r="U19" s="320" t="s">
        <v>440</v>
      </c>
      <c r="V19" s="317" t="s">
        <v>437</v>
      </c>
      <c r="W19" s="379"/>
      <c r="Y19" s="185" t="s">
        <v>361</v>
      </c>
      <c r="Z19" s="186" t="s">
        <v>362</v>
      </c>
      <c r="AA19" s="316"/>
      <c r="AB19" s="316"/>
      <c r="AC19" s="316"/>
      <c r="AD19" s="314">
        <f>AE19+AF19+AG19+AH19</f>
        <v>0</v>
      </c>
      <c r="AE19" s="316"/>
      <c r="AF19" s="316"/>
      <c r="AG19" s="316"/>
      <c r="AH19" s="316"/>
    </row>
    <row r="20" spans="1:34" ht="37.5" customHeight="1">
      <c r="B20" s="3"/>
      <c r="C20" s="3"/>
      <c r="D20" s="3"/>
      <c r="E20" s="3"/>
      <c r="F20" s="52"/>
      <c r="G20" s="52"/>
      <c r="H20" s="52"/>
      <c r="I20" s="52"/>
      <c r="J20" s="52"/>
      <c r="M20" s="114"/>
      <c r="N20" s="308"/>
      <c r="O20" s="730" t="s">
        <v>463</v>
      </c>
      <c r="P20" s="731"/>
      <c r="Q20" s="732"/>
      <c r="R20" s="321">
        <v>584.29999999999995</v>
      </c>
      <c r="S20" s="321"/>
      <c r="T20" s="328"/>
      <c r="U20" s="326"/>
      <c r="V20" s="317">
        <f>SUM(R20:U20)</f>
        <v>584.29999999999995</v>
      </c>
      <c r="W20" s="379"/>
      <c r="Y20" s="279"/>
      <c r="AA20" s="242"/>
      <c r="AB20" s="242"/>
      <c r="AC20" s="242"/>
      <c r="AD20" s="242"/>
      <c r="AE20" s="242"/>
      <c r="AF20" s="242"/>
      <c r="AG20" s="242"/>
      <c r="AH20" s="242"/>
    </row>
    <row r="21" spans="1:34" s="2" customFormat="1" ht="20.100000000000001" customHeight="1">
      <c r="A21" s="4"/>
      <c r="C21" s="3"/>
      <c r="D21" s="114"/>
      <c r="E21" s="254"/>
      <c r="F21" s="254"/>
      <c r="G21" s="114"/>
      <c r="H21" s="3"/>
      <c r="I21" s="694" t="s">
        <v>332</v>
      </c>
      <c r="J21" s="694"/>
      <c r="K21" s="276"/>
      <c r="M21" s="114"/>
      <c r="N21" s="308"/>
      <c r="O21" s="730"/>
      <c r="P21" s="731"/>
      <c r="Q21" s="732"/>
      <c r="R21" s="321"/>
      <c r="S21" s="321"/>
      <c r="T21" s="321"/>
      <c r="U21" s="321"/>
      <c r="V21" s="317">
        <f>SUM(R21:U21)</f>
        <v>0</v>
      </c>
      <c r="W21" s="193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</row>
    <row r="22" spans="1:34" ht="20.100000000000001" customHeight="1">
      <c r="A22" s="43" t="s">
        <v>190</v>
      </c>
      <c r="B22" s="1"/>
      <c r="C22" s="698" t="s">
        <v>92</v>
      </c>
      <c r="D22" s="698"/>
      <c r="E22" s="698"/>
      <c r="F22" s="699"/>
      <c r="G22" s="14"/>
      <c r="H22" s="700" t="s">
        <v>338</v>
      </c>
      <c r="I22" s="700"/>
      <c r="J22" s="700"/>
      <c r="M22" s="297"/>
      <c r="N22" s="308"/>
      <c r="O22" s="193"/>
      <c r="P22" s="193"/>
      <c r="Q22" s="193"/>
      <c r="R22" s="193"/>
      <c r="S22" s="193"/>
      <c r="T22" s="193"/>
      <c r="U22" s="193"/>
      <c r="V22" s="193"/>
      <c r="W22" s="379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</row>
    <row r="23" spans="1:34" s="2" customFormat="1" ht="20.100000000000001" customHeight="1">
      <c r="A23" s="21" t="s">
        <v>68</v>
      </c>
      <c r="B23" s="3"/>
      <c r="C23" s="695" t="s">
        <v>69</v>
      </c>
      <c r="D23" s="695"/>
      <c r="E23" s="695"/>
      <c r="F23" s="695"/>
      <c r="G23" s="23"/>
      <c r="H23" s="710" t="s">
        <v>88</v>
      </c>
      <c r="I23" s="710"/>
      <c r="J23" s="710"/>
      <c r="K23" s="277"/>
      <c r="M23" s="297"/>
      <c r="W23" s="193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</row>
    <row r="24" spans="1:34" s="2" customFormat="1" ht="20.100000000000001" customHeight="1">
      <c r="A24" s="294"/>
      <c r="B24" s="297"/>
      <c r="C24" s="294"/>
      <c r="D24" s="294"/>
      <c r="E24" s="294"/>
      <c r="F24" s="294"/>
      <c r="G24" s="23"/>
      <c r="H24" s="298"/>
      <c r="I24" s="298"/>
      <c r="J24" s="298"/>
      <c r="K24" s="298"/>
      <c r="M24" s="297"/>
      <c r="N24" s="307" t="s">
        <v>446</v>
      </c>
      <c r="O24" s="379"/>
      <c r="P24" s="317">
        <v>2019</v>
      </c>
      <c r="Q24" s="379"/>
      <c r="R24" s="320" t="s">
        <v>436</v>
      </c>
      <c r="S24" s="320" t="s">
        <v>395</v>
      </c>
      <c r="T24" s="320" t="s">
        <v>396</v>
      </c>
      <c r="U24" s="320" t="s">
        <v>438</v>
      </c>
      <c r="V24" s="322" t="s">
        <v>437</v>
      </c>
      <c r="W24" s="193"/>
    </row>
    <row r="25" spans="1:34" s="2" customFormat="1" ht="42" customHeight="1">
      <c r="A25" s="294"/>
      <c r="B25" s="297"/>
      <c r="C25" s="294"/>
      <c r="D25" s="294"/>
      <c r="E25" s="294"/>
      <c r="F25" s="294"/>
      <c r="G25" s="23"/>
      <c r="H25" s="298"/>
      <c r="I25" s="298"/>
      <c r="J25" s="298"/>
      <c r="K25" s="298"/>
      <c r="M25" s="297"/>
      <c r="N25" s="308"/>
      <c r="O25" s="742" t="s">
        <v>2</v>
      </c>
      <c r="P25" s="743"/>
      <c r="Q25" s="744"/>
      <c r="R25" s="384">
        <v>400</v>
      </c>
      <c r="S25" s="384">
        <v>1322.6</v>
      </c>
      <c r="T25" s="384">
        <v>1171.0999999999999</v>
      </c>
      <c r="U25" s="384">
        <v>1474</v>
      </c>
      <c r="V25" s="317">
        <f>SUM(R25:U25)</f>
        <v>4367.7</v>
      </c>
      <c r="W25" s="193"/>
    </row>
    <row r="26" spans="1:34" s="2" customFormat="1" ht="52.5" customHeight="1">
      <c r="A26" s="294"/>
      <c r="B26" s="297"/>
      <c r="C26" s="294"/>
      <c r="D26" s="294"/>
      <c r="E26" s="294"/>
      <c r="F26" s="294"/>
      <c r="G26" s="23"/>
      <c r="H26" s="298"/>
      <c r="I26" s="298"/>
      <c r="J26" s="298"/>
      <c r="M26" s="112"/>
      <c r="N26" s="307"/>
      <c r="O26" s="742" t="s">
        <v>16</v>
      </c>
      <c r="P26" s="743"/>
      <c r="Q26" s="744"/>
      <c r="R26" s="384">
        <v>100</v>
      </c>
      <c r="S26" s="384">
        <v>100</v>
      </c>
      <c r="T26" s="384">
        <v>100</v>
      </c>
      <c r="U26" s="384">
        <v>100</v>
      </c>
      <c r="V26" s="317">
        <f>SUM(R26:U26)</f>
        <v>400</v>
      </c>
      <c r="W26" s="193"/>
    </row>
    <row r="27" spans="1:34" s="2" customFormat="1" ht="20.100000000000001" customHeight="1">
      <c r="A27" s="294"/>
      <c r="B27" s="297"/>
      <c r="C27" s="294"/>
      <c r="D27" s="294"/>
      <c r="E27" s="294"/>
      <c r="F27" s="294"/>
      <c r="G27" s="23"/>
      <c r="H27" s="298"/>
      <c r="I27" s="298"/>
      <c r="J27" s="298"/>
      <c r="M27" s="114"/>
      <c r="W27" s="193"/>
    </row>
    <row r="28" spans="1:34" s="2" customFormat="1" ht="20.100000000000001" customHeight="1">
      <c r="A28" s="294"/>
      <c r="B28" s="297"/>
      <c r="C28" s="294"/>
      <c r="D28" s="294"/>
      <c r="E28" s="294"/>
      <c r="F28" s="294"/>
      <c r="G28" s="23"/>
      <c r="H28" s="298"/>
      <c r="I28" s="298"/>
      <c r="J28" s="298"/>
      <c r="M28" s="114"/>
      <c r="W28" s="193"/>
    </row>
    <row r="29" spans="1:34" s="2" customFormat="1" ht="20.100000000000001" customHeight="1">
      <c r="A29" s="294"/>
      <c r="B29" s="297"/>
      <c r="C29" s="294"/>
      <c r="D29" s="294"/>
      <c r="E29" s="294"/>
      <c r="F29" s="294"/>
      <c r="G29" s="23"/>
      <c r="H29" s="298"/>
      <c r="I29" s="298"/>
      <c r="J29" s="298"/>
      <c r="M29" s="114"/>
      <c r="W29" s="193"/>
    </row>
    <row r="30" spans="1:34" s="2" customFormat="1" ht="20.100000000000001" customHeight="1">
      <c r="A30" s="294"/>
      <c r="B30" s="297"/>
      <c r="C30" s="294"/>
      <c r="D30" s="294"/>
      <c r="E30" s="294"/>
      <c r="F30" s="294"/>
      <c r="G30" s="23"/>
      <c r="H30" s="298"/>
      <c r="I30" s="298"/>
      <c r="J30" s="298"/>
      <c r="M30" s="297"/>
      <c r="W30" s="193"/>
    </row>
    <row r="31" spans="1:34" s="2" customFormat="1" ht="20.100000000000001" customHeight="1">
      <c r="A31" s="294"/>
      <c r="B31" s="297"/>
      <c r="C31" s="294"/>
      <c r="D31" s="294"/>
      <c r="E31" s="294"/>
      <c r="F31" s="294"/>
      <c r="G31" s="23"/>
      <c r="H31" s="298"/>
      <c r="I31" s="298"/>
      <c r="J31" s="298"/>
      <c r="W31" s="193"/>
    </row>
    <row r="32" spans="1:34" s="2" customFormat="1" ht="20.100000000000001" customHeight="1">
      <c r="A32" s="294"/>
      <c r="B32" s="297"/>
      <c r="C32" s="294"/>
      <c r="D32" s="294"/>
      <c r="E32" s="294"/>
      <c r="F32" s="294"/>
      <c r="G32" s="23"/>
      <c r="H32" s="298"/>
      <c r="I32" s="298"/>
      <c r="J32" s="298"/>
      <c r="N32" s="307"/>
      <c r="O32" s="299"/>
      <c r="P32" s="299"/>
      <c r="Q32" s="299"/>
      <c r="R32" s="299"/>
      <c r="S32" s="299"/>
      <c r="T32" s="299"/>
      <c r="U32" s="299"/>
      <c r="V32" s="317"/>
      <c r="W32" s="193"/>
    </row>
    <row r="33" spans="1:23" s="2" customFormat="1" ht="20.100000000000001" customHeight="1">
      <c r="A33" s="294"/>
      <c r="B33" s="297"/>
      <c r="C33" s="294"/>
      <c r="D33" s="294"/>
      <c r="E33" s="294"/>
      <c r="F33" s="294"/>
      <c r="G33" s="23"/>
      <c r="H33" s="298"/>
      <c r="I33" s="298"/>
      <c r="J33" s="298"/>
      <c r="N33" s="307" t="s">
        <v>446</v>
      </c>
      <c r="O33" s="269"/>
      <c r="P33" s="325" t="s">
        <v>434</v>
      </c>
      <c r="Q33" s="325" t="s">
        <v>435</v>
      </c>
      <c r="R33" s="326"/>
      <c r="S33" s="321"/>
      <c r="T33" s="327"/>
      <c r="U33" s="321"/>
      <c r="V33" s="317"/>
      <c r="W33" s="193"/>
    </row>
    <row r="34" spans="1:23" s="2" customFormat="1" ht="39" customHeight="1">
      <c r="A34" s="294"/>
      <c r="B34" s="297"/>
      <c r="C34" s="294"/>
      <c r="D34" s="294"/>
      <c r="E34" s="294"/>
      <c r="F34" s="294"/>
      <c r="G34" s="23"/>
      <c r="H34" s="298"/>
      <c r="I34" s="298"/>
      <c r="J34" s="298"/>
      <c r="N34" s="307"/>
      <c r="O34" s="334"/>
      <c r="P34" s="335"/>
      <c r="Q34" s="336"/>
      <c r="R34" s="319" t="s">
        <v>436</v>
      </c>
      <c r="S34" s="320" t="s">
        <v>395</v>
      </c>
      <c r="T34" s="320" t="s">
        <v>396</v>
      </c>
      <c r="U34" s="320" t="s">
        <v>440</v>
      </c>
      <c r="V34" s="317" t="s">
        <v>437</v>
      </c>
      <c r="W34" s="193"/>
    </row>
    <row r="35" spans="1:23" ht="26.25" customHeight="1">
      <c r="A35" s="36"/>
      <c r="M35" s="279"/>
      <c r="O35" s="380" t="s">
        <v>394</v>
      </c>
      <c r="P35" s="381"/>
      <c r="Q35" s="382"/>
      <c r="R35" s="321"/>
      <c r="S35" s="321">
        <v>114</v>
      </c>
      <c r="T35" s="321"/>
      <c r="U35" s="321"/>
      <c r="V35" s="317">
        <f>SUM(R35:U35)</f>
        <v>114</v>
      </c>
      <c r="W35" s="317"/>
    </row>
    <row r="36" spans="1:23" ht="25.5" customHeight="1">
      <c r="A36" s="36"/>
      <c r="M36" s="279"/>
      <c r="O36" s="730" t="s">
        <v>393</v>
      </c>
      <c r="P36" s="731"/>
      <c r="Q36" s="732"/>
      <c r="R36" s="321"/>
      <c r="S36" s="321">
        <v>55.6</v>
      </c>
      <c r="T36" s="321"/>
      <c r="U36" s="321"/>
      <c r="V36" s="317">
        <f>SUM(R36:U36)</f>
        <v>55.6</v>
      </c>
      <c r="W36" s="317"/>
    </row>
    <row r="37" spans="1:23" ht="26.25" customHeight="1">
      <c r="A37" s="36"/>
      <c r="M37" s="279"/>
      <c r="O37" s="193"/>
      <c r="P37" s="193"/>
      <c r="Q37" s="193"/>
      <c r="R37" s="328"/>
      <c r="S37" s="328"/>
      <c r="T37" s="328"/>
      <c r="U37" s="328"/>
      <c r="V37" s="324"/>
      <c r="W37" s="317"/>
    </row>
    <row r="38" spans="1:23" ht="39" customHeight="1">
      <c r="A38" s="36"/>
      <c r="M38" s="279"/>
      <c r="N38" s="307" t="s">
        <v>446</v>
      </c>
      <c r="O38" s="299"/>
      <c r="P38" s="317">
        <v>2018</v>
      </c>
      <c r="Q38" s="299"/>
      <c r="R38" s="320" t="s">
        <v>436</v>
      </c>
      <c r="S38" s="320" t="s">
        <v>395</v>
      </c>
      <c r="T38" s="320" t="s">
        <v>396</v>
      </c>
      <c r="U38" s="320" t="s">
        <v>397</v>
      </c>
      <c r="V38" s="322" t="s">
        <v>437</v>
      </c>
      <c r="W38" s="317"/>
    </row>
    <row r="39" spans="1:23" ht="37.5" customHeight="1">
      <c r="A39" s="36"/>
      <c r="M39" s="279"/>
      <c r="O39" s="741" t="s">
        <v>2</v>
      </c>
      <c r="P39" s="741"/>
      <c r="Q39" s="741"/>
      <c r="R39" s="323"/>
      <c r="S39" s="323"/>
      <c r="T39" s="323">
        <v>295.5</v>
      </c>
      <c r="U39" s="323">
        <v>300</v>
      </c>
      <c r="V39" s="317">
        <f>SUM(R39:U39)</f>
        <v>595.5</v>
      </c>
      <c r="W39" s="317"/>
    </row>
    <row r="40" spans="1:23" ht="39.75" customHeight="1">
      <c r="A40" s="36"/>
      <c r="M40" s="279"/>
      <c r="O40" s="741" t="s">
        <v>16</v>
      </c>
      <c r="P40" s="741"/>
      <c r="Q40" s="741"/>
      <c r="R40" s="323"/>
      <c r="S40" s="323"/>
      <c r="T40" s="323">
        <v>87.3</v>
      </c>
      <c r="U40" s="323">
        <v>200</v>
      </c>
      <c r="V40" s="317">
        <f>SUM(R40:U40)</f>
        <v>287.3</v>
      </c>
      <c r="W40" s="317"/>
    </row>
    <row r="41" spans="1:23" ht="25.5" customHeight="1">
      <c r="A41" s="36"/>
      <c r="K41" s="307"/>
      <c r="M41" s="279"/>
      <c r="W41" s="317"/>
    </row>
    <row r="42" spans="1:23" ht="27" customHeight="1">
      <c r="A42" s="36"/>
      <c r="K42" s="307"/>
      <c r="M42" s="279"/>
      <c r="W42" s="317"/>
    </row>
    <row r="43" spans="1:23" ht="32.25" customHeight="1">
      <c r="A43" s="36"/>
      <c r="K43" s="307"/>
      <c r="M43" s="279"/>
      <c r="W43" s="317"/>
    </row>
    <row r="44" spans="1:23" ht="39" customHeight="1">
      <c r="A44" s="36"/>
      <c r="M44" s="279"/>
      <c r="W44" s="317"/>
    </row>
    <row r="45" spans="1:23" ht="45" customHeight="1">
      <c r="A45" s="36"/>
      <c r="K45" s="307"/>
      <c r="M45" s="279"/>
      <c r="W45" s="317"/>
    </row>
    <row r="46" spans="1:23" ht="48" customHeight="1">
      <c r="A46" s="36"/>
      <c r="K46" s="307"/>
      <c r="M46" s="279"/>
      <c r="W46" s="299"/>
    </row>
    <row r="47" spans="1:23" ht="75" customHeight="1">
      <c r="A47" s="36"/>
      <c r="K47" s="307"/>
      <c r="M47" s="279"/>
      <c r="O47" s="299"/>
      <c r="P47" s="299"/>
      <c r="Q47" s="299"/>
      <c r="R47" s="303"/>
      <c r="S47" s="303"/>
      <c r="T47" s="303"/>
      <c r="U47" s="303"/>
      <c r="V47" s="317"/>
      <c r="W47" s="299"/>
    </row>
    <row r="48" spans="1:23">
      <c r="A48" s="36"/>
      <c r="K48" s="307"/>
      <c r="M48" s="279"/>
      <c r="O48" s="299"/>
      <c r="P48" s="299"/>
      <c r="Q48" s="299"/>
      <c r="R48" s="303"/>
      <c r="S48" s="303"/>
      <c r="T48" s="303"/>
      <c r="U48" s="303"/>
      <c r="V48" s="317"/>
      <c r="W48" s="299"/>
    </row>
    <row r="49" spans="1:23">
      <c r="A49" s="36"/>
      <c r="K49" s="307"/>
      <c r="M49" s="279"/>
      <c r="O49" s="299"/>
      <c r="P49" s="299"/>
      <c r="Q49" s="299"/>
      <c r="R49" s="303"/>
      <c r="S49" s="303"/>
      <c r="T49" s="303"/>
      <c r="U49" s="303"/>
      <c r="V49" s="317"/>
      <c r="W49" s="299"/>
    </row>
    <row r="50" spans="1:23">
      <c r="A50" s="36"/>
      <c r="K50" s="307"/>
      <c r="M50" s="279"/>
      <c r="O50" s="299"/>
      <c r="P50" s="299"/>
      <c r="Q50" s="299"/>
      <c r="R50" s="303"/>
      <c r="S50" s="303"/>
      <c r="T50" s="303"/>
      <c r="U50" s="303"/>
      <c r="V50" s="317"/>
      <c r="W50" s="299"/>
    </row>
    <row r="51" spans="1:23">
      <c r="A51" s="36"/>
      <c r="K51" s="307"/>
      <c r="M51" s="279"/>
      <c r="O51" s="299"/>
      <c r="P51" s="299"/>
      <c r="Q51" s="299"/>
      <c r="R51" s="303"/>
      <c r="S51" s="303"/>
      <c r="T51" s="303"/>
      <c r="U51" s="303"/>
      <c r="V51" s="317"/>
      <c r="W51" s="299"/>
    </row>
    <row r="52" spans="1:23" ht="75" customHeight="1">
      <c r="A52" s="36"/>
      <c r="K52" s="307"/>
      <c r="M52" s="279"/>
      <c r="O52" s="299"/>
      <c r="P52" s="299"/>
      <c r="Q52" s="299"/>
      <c r="R52" s="303"/>
      <c r="S52" s="303"/>
      <c r="T52" s="303"/>
      <c r="U52" s="303"/>
      <c r="V52" s="317"/>
      <c r="W52" s="299"/>
    </row>
    <row r="53" spans="1:23" ht="56.25" customHeight="1">
      <c r="A53" s="36"/>
      <c r="K53" s="307"/>
      <c r="M53" s="279"/>
      <c r="O53" s="299"/>
      <c r="P53" s="299"/>
      <c r="Q53" s="299"/>
      <c r="R53" s="303"/>
      <c r="S53" s="303"/>
      <c r="T53" s="303"/>
      <c r="U53" s="303"/>
      <c r="V53" s="317"/>
      <c r="W53" s="299"/>
    </row>
    <row r="54" spans="1:23">
      <c r="A54" s="36"/>
      <c r="K54" s="307"/>
      <c r="M54" s="279"/>
      <c r="O54" s="299"/>
      <c r="P54" s="299"/>
      <c r="Q54" s="299"/>
      <c r="R54" s="303"/>
      <c r="S54" s="303"/>
      <c r="T54" s="303"/>
      <c r="U54" s="303"/>
      <c r="V54" s="317"/>
      <c r="W54" s="299"/>
    </row>
    <row r="55" spans="1:23">
      <c r="A55" s="36"/>
      <c r="K55" s="307"/>
      <c r="M55" s="279"/>
      <c r="O55" s="299"/>
      <c r="P55" s="299"/>
      <c r="Q55" s="299"/>
      <c r="R55" s="303"/>
      <c r="S55" s="303"/>
      <c r="T55" s="303"/>
      <c r="U55" s="303"/>
      <c r="V55" s="317"/>
      <c r="W55" s="299"/>
    </row>
    <row r="56" spans="1:23">
      <c r="A56" s="36"/>
      <c r="K56" s="307"/>
      <c r="M56" s="279"/>
      <c r="O56" s="299"/>
      <c r="P56" s="299"/>
      <c r="Q56" s="299"/>
      <c r="R56" s="303"/>
      <c r="S56" s="303"/>
      <c r="T56" s="303"/>
      <c r="U56" s="303"/>
      <c r="V56" s="317"/>
      <c r="W56" s="299"/>
    </row>
    <row r="57" spans="1:23">
      <c r="A57" s="36"/>
      <c r="K57" s="307"/>
      <c r="M57" s="279"/>
      <c r="O57" s="299"/>
      <c r="P57" s="299"/>
      <c r="Q57" s="299"/>
      <c r="R57" s="303"/>
      <c r="S57" s="303"/>
      <c r="T57" s="303"/>
      <c r="U57" s="303"/>
      <c r="V57" s="317"/>
      <c r="W57" s="299"/>
    </row>
    <row r="58" spans="1:23">
      <c r="A58" s="36"/>
      <c r="K58" s="307"/>
      <c r="M58" s="279"/>
      <c r="O58" s="299"/>
      <c r="P58" s="299"/>
      <c r="Q58" s="299"/>
      <c r="R58" s="303"/>
      <c r="S58" s="303"/>
      <c r="T58" s="303"/>
      <c r="U58" s="303"/>
      <c r="V58" s="317"/>
      <c r="W58" s="299"/>
    </row>
    <row r="59" spans="1:23">
      <c r="A59" s="36"/>
      <c r="K59" s="307"/>
      <c r="M59" s="279"/>
      <c r="O59" s="299"/>
      <c r="P59" s="299"/>
      <c r="Q59" s="299"/>
      <c r="R59" s="303"/>
      <c r="S59" s="303"/>
      <c r="T59" s="303"/>
      <c r="U59" s="303"/>
      <c r="V59" s="317"/>
      <c r="W59" s="299"/>
    </row>
    <row r="60" spans="1:23">
      <c r="A60" s="36"/>
      <c r="K60" s="307"/>
      <c r="M60" s="279"/>
      <c r="O60" s="299"/>
      <c r="P60" s="299"/>
      <c r="Q60" s="299"/>
      <c r="R60" s="303"/>
      <c r="S60" s="303"/>
      <c r="T60" s="303"/>
      <c r="U60" s="303"/>
      <c r="V60" s="317"/>
      <c r="W60" s="299"/>
    </row>
    <row r="61" spans="1:23">
      <c r="A61" s="36"/>
      <c r="M61" s="279"/>
      <c r="O61" s="299"/>
      <c r="P61" s="299"/>
      <c r="Q61" s="299"/>
      <c r="R61" s="303"/>
      <c r="S61" s="303"/>
      <c r="T61" s="303"/>
      <c r="U61" s="303"/>
      <c r="V61" s="317"/>
      <c r="W61" s="299"/>
    </row>
    <row r="62" spans="1:23">
      <c r="A62" s="36"/>
      <c r="M62" s="279"/>
      <c r="O62" s="299"/>
      <c r="P62" s="299"/>
      <c r="Q62" s="299"/>
      <c r="R62" s="303"/>
      <c r="S62" s="303"/>
      <c r="T62" s="303"/>
      <c r="U62" s="303"/>
      <c r="V62" s="317"/>
      <c r="W62" s="299"/>
    </row>
    <row r="63" spans="1:23">
      <c r="A63" s="36"/>
      <c r="M63" s="279"/>
      <c r="O63" s="299"/>
      <c r="P63" s="299"/>
      <c r="Q63" s="299"/>
      <c r="R63" s="303"/>
      <c r="S63" s="303"/>
      <c r="T63" s="303"/>
      <c r="U63" s="303"/>
      <c r="V63" s="317"/>
      <c r="W63" s="299"/>
    </row>
    <row r="64" spans="1:23">
      <c r="A64" s="36"/>
      <c r="M64" s="279"/>
      <c r="O64" s="299"/>
      <c r="P64" s="299"/>
      <c r="Q64" s="299"/>
      <c r="R64" s="303"/>
      <c r="S64" s="303"/>
      <c r="T64" s="303"/>
      <c r="U64" s="303"/>
      <c r="V64" s="317"/>
      <c r="W64" s="299"/>
    </row>
    <row r="65" spans="1:23">
      <c r="A65" s="36"/>
      <c r="M65" s="279"/>
      <c r="O65" s="299"/>
      <c r="P65" s="299"/>
      <c r="Q65" s="299"/>
      <c r="R65" s="303"/>
      <c r="S65" s="303"/>
      <c r="T65" s="303"/>
      <c r="U65" s="303"/>
      <c r="V65" s="317"/>
      <c r="W65" s="299"/>
    </row>
    <row r="66" spans="1:23">
      <c r="A66" s="36"/>
      <c r="M66" s="279"/>
      <c r="O66" s="299"/>
      <c r="P66" s="299"/>
      <c r="Q66" s="299"/>
      <c r="R66" s="303"/>
      <c r="S66" s="303"/>
      <c r="T66" s="303"/>
      <c r="U66" s="303"/>
      <c r="V66" s="317"/>
      <c r="W66" s="299"/>
    </row>
    <row r="67" spans="1:23">
      <c r="A67" s="36"/>
      <c r="M67" s="279"/>
      <c r="O67" s="299"/>
      <c r="P67" s="299"/>
      <c r="Q67" s="299"/>
      <c r="R67" s="303"/>
      <c r="S67" s="303"/>
      <c r="T67" s="303"/>
      <c r="U67" s="303"/>
      <c r="V67" s="317"/>
      <c r="W67" s="299"/>
    </row>
    <row r="68" spans="1:23">
      <c r="A68" s="36"/>
      <c r="M68" s="279"/>
      <c r="O68" s="299"/>
      <c r="P68" s="299"/>
      <c r="Q68" s="299"/>
      <c r="R68" s="303"/>
      <c r="S68" s="303"/>
      <c r="T68" s="303"/>
      <c r="U68" s="303"/>
      <c r="V68" s="317"/>
      <c r="W68" s="299"/>
    </row>
    <row r="69" spans="1:23">
      <c r="A69" s="36"/>
      <c r="M69" s="279"/>
      <c r="O69" s="299"/>
      <c r="P69" s="299"/>
      <c r="Q69" s="299"/>
      <c r="R69" s="303"/>
      <c r="S69" s="303"/>
      <c r="T69" s="303"/>
      <c r="U69" s="303"/>
      <c r="V69" s="317"/>
      <c r="W69" s="299"/>
    </row>
    <row r="70" spans="1:23">
      <c r="A70" s="36"/>
      <c r="M70" s="279"/>
      <c r="O70" s="299"/>
      <c r="P70" s="299"/>
      <c r="Q70" s="299"/>
      <c r="R70" s="303"/>
      <c r="S70" s="303"/>
      <c r="T70" s="303"/>
      <c r="U70" s="303"/>
      <c r="V70" s="317"/>
      <c r="W70" s="299"/>
    </row>
    <row r="71" spans="1:23">
      <c r="A71" s="36"/>
      <c r="M71" s="279"/>
      <c r="O71" s="299"/>
      <c r="P71" s="299"/>
      <c r="Q71" s="299"/>
      <c r="R71" s="303"/>
      <c r="S71" s="303"/>
      <c r="T71" s="303"/>
      <c r="U71" s="303"/>
      <c r="V71" s="317"/>
      <c r="W71" s="299"/>
    </row>
    <row r="72" spans="1:23">
      <c r="A72" s="36"/>
      <c r="M72" s="279"/>
      <c r="O72" s="299"/>
      <c r="P72" s="299"/>
      <c r="Q72" s="299"/>
      <c r="R72" s="303"/>
      <c r="S72" s="303"/>
      <c r="T72" s="303"/>
      <c r="U72" s="303"/>
      <c r="V72" s="317"/>
      <c r="W72" s="299"/>
    </row>
    <row r="73" spans="1:23">
      <c r="A73" s="36"/>
      <c r="M73" s="279"/>
      <c r="O73" s="299"/>
      <c r="P73" s="299"/>
      <c r="Q73" s="299"/>
      <c r="R73" s="303"/>
      <c r="S73" s="303"/>
      <c r="T73" s="303"/>
      <c r="U73" s="303"/>
      <c r="V73" s="317"/>
      <c r="W73" s="299"/>
    </row>
    <row r="74" spans="1:23">
      <c r="A74" s="36"/>
      <c r="M74" s="279"/>
      <c r="O74" s="299"/>
      <c r="P74" s="299"/>
      <c r="Q74" s="299"/>
      <c r="R74" s="303"/>
      <c r="S74" s="303"/>
      <c r="T74" s="303"/>
      <c r="U74" s="303"/>
      <c r="V74" s="317"/>
      <c r="W74" s="299"/>
    </row>
    <row r="75" spans="1:23">
      <c r="A75" s="36"/>
      <c r="M75" s="279"/>
      <c r="O75" s="299"/>
      <c r="P75" s="299"/>
      <c r="Q75" s="299"/>
      <c r="R75" s="303"/>
      <c r="S75" s="303"/>
      <c r="T75" s="303"/>
      <c r="U75" s="303"/>
      <c r="V75" s="317"/>
      <c r="W75" s="299"/>
    </row>
    <row r="76" spans="1:23">
      <c r="A76" s="36"/>
      <c r="M76" s="279"/>
      <c r="O76" s="299"/>
      <c r="P76" s="299"/>
      <c r="Q76" s="299"/>
      <c r="R76" s="303"/>
      <c r="S76" s="303"/>
      <c r="T76" s="303"/>
      <c r="U76" s="303"/>
      <c r="V76" s="317"/>
      <c r="W76" s="299"/>
    </row>
    <row r="77" spans="1:23">
      <c r="A77" s="36"/>
      <c r="M77" s="279"/>
      <c r="O77" s="299"/>
      <c r="P77" s="299"/>
      <c r="Q77" s="299"/>
      <c r="R77" s="303"/>
      <c r="S77" s="303"/>
      <c r="T77" s="303"/>
      <c r="U77" s="303"/>
      <c r="V77" s="317"/>
      <c r="W77" s="299"/>
    </row>
    <row r="78" spans="1:23">
      <c r="A78" s="36"/>
      <c r="M78" s="279"/>
      <c r="O78" s="299"/>
      <c r="P78" s="299"/>
      <c r="Q78" s="299"/>
      <c r="R78" s="303"/>
      <c r="S78" s="303"/>
      <c r="T78" s="303"/>
      <c r="U78" s="303"/>
      <c r="V78" s="317"/>
      <c r="W78" s="299"/>
    </row>
    <row r="79" spans="1:23">
      <c r="A79" s="36"/>
      <c r="M79" s="279"/>
      <c r="O79" s="279"/>
      <c r="P79" s="279"/>
      <c r="Q79" s="279"/>
      <c r="R79" s="294"/>
      <c r="S79" s="294"/>
      <c r="T79" s="294"/>
      <c r="U79" s="294"/>
      <c r="W79" s="279"/>
    </row>
    <row r="80" spans="1:23">
      <c r="A80" s="36"/>
      <c r="M80" s="279"/>
      <c r="O80" s="279"/>
      <c r="P80" s="279"/>
      <c r="Q80" s="279"/>
      <c r="R80" s="294"/>
      <c r="S80" s="294"/>
      <c r="T80" s="294"/>
      <c r="U80" s="294"/>
      <c r="W80" s="279"/>
    </row>
    <row r="81" spans="1:23">
      <c r="A81" s="36"/>
      <c r="M81" s="279"/>
      <c r="O81" s="279"/>
      <c r="P81" s="279"/>
      <c r="Q81" s="279"/>
      <c r="R81" s="294"/>
      <c r="S81" s="294"/>
      <c r="T81" s="294"/>
      <c r="U81" s="294"/>
      <c r="W81" s="279"/>
    </row>
    <row r="82" spans="1:23">
      <c r="A82" s="36"/>
      <c r="M82" s="279"/>
      <c r="O82" s="279"/>
      <c r="P82" s="279"/>
      <c r="Q82" s="279"/>
      <c r="R82" s="294"/>
      <c r="S82" s="294"/>
      <c r="T82" s="294"/>
      <c r="U82" s="294"/>
      <c r="W82" s="279"/>
    </row>
    <row r="83" spans="1:23">
      <c r="A83" s="36"/>
      <c r="M83" s="279"/>
      <c r="O83" s="279"/>
      <c r="P83" s="279"/>
      <c r="Q83" s="279"/>
      <c r="R83" s="294"/>
      <c r="S83" s="294"/>
      <c r="T83" s="294"/>
      <c r="U83" s="294"/>
      <c r="W83" s="279"/>
    </row>
    <row r="84" spans="1:23">
      <c r="A84" s="36"/>
      <c r="M84" s="279"/>
      <c r="O84" s="279"/>
      <c r="P84" s="279"/>
      <c r="Q84" s="279"/>
      <c r="R84" s="294"/>
      <c r="S84" s="294"/>
      <c r="T84" s="294"/>
      <c r="U84" s="294"/>
      <c r="W84" s="279"/>
    </row>
    <row r="85" spans="1:23">
      <c r="A85" s="36"/>
      <c r="M85" s="279"/>
      <c r="O85" s="279"/>
      <c r="P85" s="279"/>
      <c r="Q85" s="279"/>
      <c r="R85" s="294"/>
      <c r="S85" s="294"/>
      <c r="T85" s="294"/>
      <c r="U85" s="294"/>
      <c r="W85" s="279"/>
    </row>
    <row r="86" spans="1:23">
      <c r="A86" s="36"/>
      <c r="M86" s="279"/>
      <c r="O86" s="279"/>
      <c r="P86" s="279"/>
      <c r="Q86" s="279"/>
      <c r="R86" s="294"/>
      <c r="S86" s="294"/>
      <c r="T86" s="294"/>
      <c r="U86" s="294"/>
      <c r="W86" s="279"/>
    </row>
    <row r="87" spans="1:23">
      <c r="A87" s="36"/>
      <c r="M87" s="279"/>
      <c r="O87" s="279"/>
      <c r="P87" s="279"/>
      <c r="Q87" s="279"/>
      <c r="R87" s="279"/>
      <c r="S87" s="279"/>
      <c r="T87" s="279"/>
      <c r="U87" s="279"/>
      <c r="W87" s="279"/>
    </row>
    <row r="88" spans="1:23">
      <c r="A88" s="36"/>
      <c r="M88" s="279"/>
      <c r="O88" s="279"/>
      <c r="P88" s="279"/>
      <c r="Q88" s="279"/>
      <c r="R88" s="279"/>
      <c r="S88" s="279"/>
      <c r="T88" s="279"/>
      <c r="U88" s="279"/>
      <c r="W88" s="279"/>
    </row>
    <row r="89" spans="1:23">
      <c r="A89" s="36"/>
      <c r="M89" s="279"/>
      <c r="O89" s="279"/>
      <c r="P89" s="279"/>
      <c r="Q89" s="279"/>
      <c r="R89" s="279"/>
      <c r="S89" s="279"/>
      <c r="T89" s="279"/>
      <c r="U89" s="279"/>
      <c r="W89" s="279"/>
    </row>
    <row r="90" spans="1:23">
      <c r="A90" s="36"/>
      <c r="M90" s="279"/>
      <c r="O90" s="279"/>
      <c r="P90" s="279"/>
      <c r="Q90" s="279"/>
      <c r="R90" s="279"/>
      <c r="S90" s="279"/>
      <c r="T90" s="279"/>
      <c r="U90" s="279"/>
      <c r="W90" s="279"/>
    </row>
    <row r="91" spans="1:23">
      <c r="A91" s="36"/>
      <c r="M91" s="279"/>
      <c r="O91" s="279"/>
      <c r="P91" s="279"/>
      <c r="Q91" s="279"/>
      <c r="R91" s="279"/>
      <c r="S91" s="279"/>
      <c r="T91" s="279"/>
      <c r="U91" s="279"/>
      <c r="W91" s="279"/>
    </row>
    <row r="92" spans="1:23">
      <c r="A92" s="36"/>
      <c r="M92" s="279"/>
      <c r="O92" s="279"/>
      <c r="P92" s="279"/>
      <c r="Q92" s="279"/>
      <c r="R92" s="279"/>
      <c r="S92" s="279"/>
      <c r="T92" s="279"/>
      <c r="U92" s="279"/>
      <c r="W92" s="279"/>
    </row>
    <row r="93" spans="1:23">
      <c r="A93" s="36"/>
      <c r="M93" s="279"/>
      <c r="O93" s="279"/>
      <c r="P93" s="279"/>
      <c r="Q93" s="279"/>
      <c r="R93" s="279"/>
      <c r="S93" s="279"/>
      <c r="T93" s="279"/>
      <c r="U93" s="279"/>
      <c r="W93" s="279"/>
    </row>
    <row r="94" spans="1:23">
      <c r="A94" s="36"/>
      <c r="M94" s="279"/>
      <c r="O94" s="279"/>
      <c r="P94" s="279"/>
      <c r="Q94" s="279"/>
      <c r="R94" s="279"/>
      <c r="S94" s="279"/>
      <c r="T94" s="279"/>
      <c r="U94" s="279"/>
      <c r="W94" s="279"/>
    </row>
    <row r="95" spans="1:23">
      <c r="A95" s="36"/>
      <c r="M95" s="279"/>
      <c r="O95" s="279"/>
      <c r="P95" s="279"/>
      <c r="Q95" s="279"/>
      <c r="R95" s="279"/>
      <c r="S95" s="279"/>
      <c r="T95" s="279"/>
      <c r="U95" s="279"/>
      <c r="W95" s="279"/>
    </row>
    <row r="96" spans="1:23">
      <c r="A96" s="36"/>
      <c r="M96" s="279"/>
      <c r="O96" s="279"/>
      <c r="P96" s="279"/>
      <c r="Q96" s="279"/>
      <c r="R96" s="279"/>
      <c r="S96" s="279"/>
      <c r="T96" s="279"/>
      <c r="U96" s="279"/>
      <c r="W96" s="279"/>
    </row>
    <row r="97" spans="1:23">
      <c r="A97" s="36"/>
      <c r="M97" s="279"/>
      <c r="O97" s="279"/>
      <c r="P97" s="279"/>
      <c r="Q97" s="279"/>
      <c r="R97" s="279"/>
      <c r="S97" s="279"/>
      <c r="T97" s="279"/>
      <c r="U97" s="279"/>
      <c r="W97" s="279"/>
    </row>
    <row r="98" spans="1:23">
      <c r="A98" s="36"/>
      <c r="M98" s="279"/>
      <c r="O98" s="279"/>
      <c r="P98" s="279"/>
      <c r="Q98" s="279"/>
      <c r="R98" s="279"/>
      <c r="S98" s="279"/>
      <c r="T98" s="279"/>
      <c r="U98" s="279"/>
      <c r="W98" s="279"/>
    </row>
    <row r="99" spans="1:23">
      <c r="A99" s="36"/>
      <c r="M99" s="279"/>
      <c r="O99" s="279"/>
      <c r="P99" s="279"/>
      <c r="Q99" s="279"/>
      <c r="R99" s="279"/>
      <c r="S99" s="279"/>
      <c r="T99" s="279"/>
      <c r="U99" s="279"/>
      <c r="W99" s="279"/>
    </row>
    <row r="100" spans="1:23">
      <c r="A100" s="36"/>
      <c r="M100" s="279"/>
      <c r="O100" s="279"/>
      <c r="P100" s="279"/>
      <c r="Q100" s="279"/>
      <c r="R100" s="279"/>
      <c r="S100" s="279"/>
      <c r="T100" s="279"/>
      <c r="U100" s="279"/>
      <c r="W100" s="279"/>
    </row>
    <row r="101" spans="1:23">
      <c r="A101" s="36"/>
      <c r="M101" s="279"/>
      <c r="O101" s="279"/>
      <c r="P101" s="279"/>
      <c r="Q101" s="279"/>
      <c r="R101" s="279"/>
      <c r="S101" s="279"/>
      <c r="T101" s="279"/>
      <c r="U101" s="279"/>
      <c r="W101" s="279"/>
    </row>
    <row r="102" spans="1:23">
      <c r="A102" s="36"/>
      <c r="M102" s="279"/>
      <c r="O102" s="279"/>
      <c r="P102" s="279"/>
      <c r="Q102" s="279"/>
      <c r="R102" s="279"/>
      <c r="S102" s="279"/>
      <c r="T102" s="279"/>
      <c r="U102" s="279"/>
      <c r="W102" s="279"/>
    </row>
    <row r="103" spans="1:23">
      <c r="A103" s="36"/>
      <c r="M103" s="279"/>
      <c r="O103" s="279"/>
      <c r="P103" s="279"/>
      <c r="Q103" s="279"/>
      <c r="R103" s="279"/>
      <c r="S103" s="279"/>
      <c r="T103" s="279"/>
      <c r="U103" s="279"/>
      <c r="W103" s="279"/>
    </row>
    <row r="104" spans="1:23">
      <c r="A104" s="36"/>
      <c r="M104" s="279"/>
      <c r="O104" s="279"/>
      <c r="P104" s="279"/>
      <c r="Q104" s="279"/>
      <c r="R104" s="279"/>
      <c r="S104" s="279"/>
      <c r="T104" s="279"/>
      <c r="U104" s="279"/>
      <c r="W104" s="279"/>
    </row>
    <row r="105" spans="1:23">
      <c r="A105" s="36"/>
      <c r="M105" s="279"/>
      <c r="O105" s="279"/>
      <c r="P105" s="279"/>
      <c r="Q105" s="279"/>
      <c r="R105" s="279"/>
      <c r="S105" s="279"/>
      <c r="T105" s="279"/>
      <c r="U105" s="279"/>
      <c r="W105" s="279"/>
    </row>
    <row r="106" spans="1:23">
      <c r="A106" s="36"/>
      <c r="M106" s="279"/>
      <c r="O106" s="279"/>
      <c r="P106" s="279"/>
      <c r="Q106" s="279"/>
      <c r="R106" s="279"/>
      <c r="S106" s="279"/>
      <c r="T106" s="279"/>
      <c r="U106" s="279"/>
      <c r="W106" s="279"/>
    </row>
    <row r="107" spans="1:23">
      <c r="A107" s="36"/>
      <c r="M107" s="279"/>
      <c r="O107" s="279"/>
      <c r="P107" s="279"/>
      <c r="Q107" s="279"/>
      <c r="R107" s="279"/>
      <c r="S107" s="279"/>
      <c r="T107" s="279"/>
      <c r="U107" s="279"/>
      <c r="W107" s="279"/>
    </row>
    <row r="108" spans="1:23">
      <c r="A108" s="36"/>
    </row>
    <row r="109" spans="1:23">
      <c r="A109" s="36"/>
    </row>
    <row r="110" spans="1:23">
      <c r="A110" s="36"/>
    </row>
    <row r="111" spans="1:23">
      <c r="A111" s="36"/>
    </row>
    <row r="112" spans="1:23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">
      <c r="A145" s="36"/>
    </row>
    <row r="146" spans="1:1">
      <c r="A146" s="36"/>
    </row>
    <row r="147" spans="1:1">
      <c r="A147" s="36"/>
    </row>
    <row r="148" spans="1:1">
      <c r="A148" s="36"/>
    </row>
    <row r="149" spans="1:1">
      <c r="A149" s="36"/>
    </row>
    <row r="150" spans="1:1">
      <c r="A150" s="36"/>
    </row>
    <row r="151" spans="1:1">
      <c r="A151" s="36"/>
    </row>
    <row r="152" spans="1:1">
      <c r="A152" s="36"/>
    </row>
    <row r="153" spans="1:1">
      <c r="A153" s="36"/>
    </row>
    <row r="154" spans="1:1">
      <c r="A154" s="36"/>
    </row>
    <row r="155" spans="1:1">
      <c r="A155" s="36"/>
    </row>
    <row r="156" spans="1:1">
      <c r="A156" s="36"/>
    </row>
    <row r="157" spans="1:1">
      <c r="A157" s="36"/>
    </row>
    <row r="158" spans="1:1">
      <c r="A158" s="36"/>
    </row>
    <row r="159" spans="1:1">
      <c r="A159" s="36"/>
    </row>
    <row r="160" spans="1:1">
      <c r="A160" s="36"/>
    </row>
    <row r="161" spans="1:1">
      <c r="A161" s="36"/>
    </row>
    <row r="162" spans="1:1">
      <c r="A162" s="36"/>
    </row>
    <row r="163" spans="1:1">
      <c r="A163" s="36"/>
    </row>
    <row r="164" spans="1:1">
      <c r="A164" s="36"/>
    </row>
    <row r="165" spans="1:1">
      <c r="A165" s="36"/>
    </row>
    <row r="166" spans="1:1">
      <c r="A166" s="36"/>
    </row>
    <row r="167" spans="1:1">
      <c r="A167" s="36"/>
    </row>
    <row r="168" spans="1:1">
      <c r="A168" s="36"/>
    </row>
    <row r="169" spans="1:1">
      <c r="A169" s="36"/>
    </row>
    <row r="170" spans="1:1">
      <c r="A170" s="36"/>
    </row>
    <row r="171" spans="1:1">
      <c r="A171" s="36"/>
    </row>
    <row r="172" spans="1:1">
      <c r="A172" s="36"/>
    </row>
    <row r="173" spans="1:1">
      <c r="A173" s="36"/>
    </row>
    <row r="174" spans="1:1">
      <c r="A174" s="36"/>
    </row>
    <row r="175" spans="1:1">
      <c r="A175" s="36"/>
    </row>
    <row r="176" spans="1:1">
      <c r="A176" s="36"/>
    </row>
    <row r="177" spans="1:1">
      <c r="A177" s="36"/>
    </row>
    <row r="178" spans="1:1">
      <c r="A178" s="36"/>
    </row>
    <row r="179" spans="1:1">
      <c r="A179" s="36"/>
    </row>
    <row r="180" spans="1:1">
      <c r="A180" s="36"/>
    </row>
    <row r="181" spans="1:1">
      <c r="A181" s="36"/>
    </row>
    <row r="182" spans="1:1">
      <c r="A182" s="36"/>
    </row>
    <row r="183" spans="1:1">
      <c r="A183" s="36"/>
    </row>
    <row r="184" spans="1:1">
      <c r="A184" s="36"/>
    </row>
    <row r="185" spans="1:1">
      <c r="A185" s="36"/>
    </row>
    <row r="186" spans="1:1">
      <c r="A186" s="36"/>
    </row>
    <row r="187" spans="1:1">
      <c r="A187" s="36"/>
    </row>
    <row r="188" spans="1:1">
      <c r="A188" s="36"/>
    </row>
    <row r="189" spans="1:1">
      <c r="A189" s="36"/>
    </row>
    <row r="190" spans="1:1">
      <c r="A190" s="36"/>
    </row>
    <row r="191" spans="1:1">
      <c r="A191" s="36"/>
    </row>
    <row r="192" spans="1:1">
      <c r="A192" s="36"/>
    </row>
    <row r="193" spans="1:1">
      <c r="A193" s="36"/>
    </row>
    <row r="194" spans="1:1">
      <c r="A194" s="36"/>
    </row>
  </sheetData>
  <mergeCells count="30">
    <mergeCell ref="O39:Q39"/>
    <mergeCell ref="O40:Q40"/>
    <mergeCell ref="C23:F23"/>
    <mergeCell ref="H23:J23"/>
    <mergeCell ref="A9:A10"/>
    <mergeCell ref="C22:F22"/>
    <mergeCell ref="H22:J22"/>
    <mergeCell ref="O25:Q25"/>
    <mergeCell ref="O26:Q26"/>
    <mergeCell ref="O36:Q36"/>
    <mergeCell ref="O14:Q14"/>
    <mergeCell ref="O13:Q13"/>
    <mergeCell ref="O21:Q21"/>
    <mergeCell ref="I21:J21"/>
    <mergeCell ref="AE9:AH9"/>
    <mergeCell ref="Y9:Y10"/>
    <mergeCell ref="Z9:Z10"/>
    <mergeCell ref="AA9:AA10"/>
    <mergeCell ref="A7:J7"/>
    <mergeCell ref="B9:B10"/>
    <mergeCell ref="C9:C10"/>
    <mergeCell ref="F9:F10"/>
    <mergeCell ref="D9:D10"/>
    <mergeCell ref="E9:E10"/>
    <mergeCell ref="G9:J9"/>
    <mergeCell ref="O5:Q5"/>
    <mergeCell ref="O6:Q6"/>
    <mergeCell ref="O7:Q7"/>
    <mergeCell ref="O8:Q8"/>
    <mergeCell ref="O20:Q20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60" firstPageNumber="9" fitToHeight="0" orientation="landscape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BH140"/>
  <sheetViews>
    <sheetView topLeftCell="A55" zoomScale="68" zoomScaleNormal="68" zoomScaleSheetLayoutView="75" workbookViewId="0">
      <selection activeCell="C29" sqref="C29"/>
    </sheetView>
  </sheetViews>
  <sheetFormatPr defaultRowHeight="18.75"/>
  <cols>
    <col min="1" max="1" width="70.5703125" style="2" customWidth="1"/>
    <col min="2" max="2" width="15.42578125" style="194" customWidth="1"/>
    <col min="3" max="3" width="19.28515625" style="194" customWidth="1"/>
    <col min="4" max="4" width="15.5703125" style="194" customWidth="1"/>
    <col min="5" max="5" width="12.28515625" style="2" customWidth="1"/>
    <col min="6" max="6" width="15" style="2" customWidth="1"/>
    <col min="7" max="7" width="11.42578125" style="2" customWidth="1"/>
    <col min="8" max="8" width="12" style="2" customWidth="1"/>
    <col min="9" max="9" width="12.7109375" style="2" customWidth="1"/>
    <col min="10" max="10" width="16.140625" style="2" customWidth="1"/>
    <col min="11" max="11" width="10.7109375" style="2" customWidth="1"/>
    <col min="12" max="12" width="12.7109375" style="2" customWidth="1"/>
    <col min="13" max="13" width="8.85546875" style="2" customWidth="1"/>
    <col min="14" max="14" width="9.42578125" style="2" customWidth="1"/>
    <col min="15" max="16" width="11.42578125" style="2" customWidth="1"/>
    <col min="17" max="17" width="14.28515625" style="2" customWidth="1"/>
    <col min="18" max="18" width="13.140625" style="2" customWidth="1"/>
    <col min="19" max="19" width="12.140625" style="2" customWidth="1"/>
    <col min="20" max="20" width="12.42578125" style="2" customWidth="1"/>
    <col min="21" max="21" width="9.140625" style="2" customWidth="1"/>
    <col min="22" max="22" width="11.42578125" style="2" customWidth="1"/>
    <col min="23" max="23" width="10.140625" style="2" customWidth="1"/>
    <col min="24" max="24" width="14.140625" style="2" customWidth="1"/>
    <col min="25" max="25" width="10.42578125" style="2" customWidth="1"/>
    <col min="26" max="27" width="12" style="2" customWidth="1"/>
    <col min="28" max="28" width="11.85546875" style="2" customWidth="1"/>
    <col min="29" max="29" width="11.28515625" style="2" customWidth="1"/>
    <col min="30" max="30" width="10" style="2" customWidth="1"/>
    <col min="31" max="31" width="10.42578125" style="2" customWidth="1"/>
    <col min="32" max="32" width="9.28515625" style="2" customWidth="1"/>
    <col min="33" max="36" width="9.140625" style="2"/>
    <col min="37" max="37" width="8.28515625" style="2" customWidth="1"/>
    <col min="38" max="38" width="11" style="2" customWidth="1"/>
    <col min="39" max="41" width="9.140625" style="2"/>
    <col min="42" max="42" width="12.28515625" style="2" customWidth="1"/>
    <col min="43" max="43" width="11.85546875" style="2" customWidth="1"/>
    <col min="44" max="16384" width="9.140625" style="2"/>
  </cols>
  <sheetData>
    <row r="2" spans="1:60"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</row>
    <row r="3" spans="1:60">
      <c r="AE3" s="114"/>
      <c r="AF3" s="656"/>
      <c r="AG3" s="656"/>
      <c r="AH3" s="657"/>
      <c r="AI3" s="656"/>
      <c r="AJ3" s="657"/>
      <c r="AK3" s="656"/>
      <c r="AL3" s="657"/>
      <c r="AM3" s="656"/>
      <c r="AN3" s="657"/>
      <c r="AO3" s="656"/>
      <c r="AP3" s="657"/>
      <c r="AQ3" s="656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</row>
    <row r="4" spans="1:60">
      <c r="A4" s="827" t="s">
        <v>106</v>
      </c>
      <c r="B4" s="827"/>
      <c r="C4" s="827"/>
      <c r="D4" s="827"/>
      <c r="E4" s="827"/>
      <c r="F4" s="827"/>
      <c r="G4" s="827"/>
      <c r="H4" s="827"/>
      <c r="I4" s="827"/>
      <c r="J4" s="90"/>
      <c r="K4" s="90"/>
      <c r="L4" s="90"/>
      <c r="M4" s="90"/>
      <c r="N4" s="90"/>
      <c r="O4" s="475"/>
      <c r="P4" s="555"/>
      <c r="AE4" s="114"/>
      <c r="AF4" s="658"/>
      <c r="AG4" s="658"/>
      <c r="AH4" s="658"/>
      <c r="AI4" s="658"/>
      <c r="AJ4" s="658"/>
      <c r="AK4" s="658"/>
      <c r="AL4" s="658"/>
      <c r="AM4" s="658"/>
      <c r="AN4" s="658"/>
      <c r="AO4" s="658"/>
      <c r="AP4" s="658"/>
      <c r="AQ4" s="658"/>
      <c r="AR4" s="253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</row>
    <row r="5" spans="1:60">
      <c r="A5" s="827" t="s">
        <v>461</v>
      </c>
      <c r="B5" s="827"/>
      <c r="C5" s="827"/>
      <c r="D5" s="827"/>
      <c r="E5" s="827"/>
      <c r="F5" s="827"/>
      <c r="G5" s="827"/>
      <c r="H5" s="827"/>
      <c r="I5" s="827"/>
      <c r="J5" s="90"/>
      <c r="K5" s="90"/>
      <c r="L5" s="90"/>
      <c r="M5" s="90"/>
      <c r="N5" s="90"/>
      <c r="O5" s="475"/>
      <c r="P5" s="555"/>
      <c r="AE5" s="114"/>
      <c r="AF5" s="658"/>
      <c r="AG5" s="658"/>
      <c r="AH5" s="658"/>
      <c r="AI5" s="658"/>
      <c r="AJ5" s="658"/>
      <c r="AK5" s="658"/>
      <c r="AL5" s="658"/>
      <c r="AM5" s="658"/>
      <c r="AN5" s="658"/>
      <c r="AO5" s="658"/>
      <c r="AP5" s="658"/>
      <c r="AQ5" s="658"/>
      <c r="AR5" s="253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</row>
    <row r="6" spans="1:60">
      <c r="A6" s="828" t="s">
        <v>448</v>
      </c>
      <c r="B6" s="828"/>
      <c r="C6" s="828"/>
      <c r="D6" s="828"/>
      <c r="E6" s="828"/>
      <c r="F6" s="828"/>
      <c r="G6" s="828"/>
      <c r="H6" s="828"/>
      <c r="I6" s="828"/>
      <c r="J6" s="21"/>
      <c r="K6" s="21"/>
      <c r="L6" s="21"/>
      <c r="M6" s="21"/>
      <c r="N6" s="21"/>
      <c r="O6" s="472"/>
      <c r="P6" s="544"/>
      <c r="AE6" s="114"/>
      <c r="AF6" s="658"/>
      <c r="AG6" s="658"/>
      <c r="AH6" s="658"/>
      <c r="AI6" s="658"/>
      <c r="AJ6" s="658"/>
      <c r="AK6" s="658"/>
      <c r="AL6" s="658"/>
      <c r="AM6" s="658"/>
      <c r="AN6" s="658"/>
      <c r="AO6" s="658"/>
      <c r="AP6" s="658"/>
      <c r="AQ6" s="658"/>
      <c r="AR6" s="253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</row>
    <row r="7" spans="1:60" ht="20.100000000000001" customHeight="1">
      <c r="A7" s="716" t="s">
        <v>113</v>
      </c>
      <c r="B7" s="716"/>
      <c r="C7" s="716"/>
      <c r="D7" s="716"/>
      <c r="E7" s="716"/>
      <c r="F7" s="716"/>
      <c r="G7" s="716"/>
      <c r="H7" s="716"/>
      <c r="I7" s="716"/>
      <c r="J7" s="53"/>
      <c r="K7" s="53"/>
      <c r="L7" s="53"/>
      <c r="M7" s="53"/>
      <c r="N7" s="53"/>
      <c r="O7" s="476"/>
      <c r="P7" s="556"/>
      <c r="AE7" s="114"/>
      <c r="AF7" s="658"/>
      <c r="AG7" s="658"/>
      <c r="AH7" s="658"/>
      <c r="AI7" s="658"/>
      <c r="AJ7" s="658"/>
      <c r="AK7" s="658"/>
      <c r="AL7" s="658"/>
      <c r="AM7" s="658"/>
      <c r="AN7" s="658"/>
      <c r="AO7" s="658"/>
      <c r="AP7" s="658"/>
      <c r="AQ7" s="658"/>
      <c r="AR7" s="253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</row>
    <row r="8" spans="1:60" ht="21.95" customHeight="1">
      <c r="A8" s="5" t="s">
        <v>78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AE8" s="114"/>
      <c r="AF8" s="658"/>
      <c r="AG8" s="658"/>
      <c r="AH8" s="658"/>
      <c r="AI8" s="658"/>
      <c r="AJ8" s="658"/>
      <c r="AK8" s="658"/>
      <c r="AL8" s="658"/>
      <c r="AM8" s="658"/>
      <c r="AN8" s="658"/>
      <c r="AO8" s="658"/>
      <c r="AP8" s="658"/>
      <c r="AQ8" s="658"/>
      <c r="AR8" s="253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</row>
    <row r="9" spans="1:60" ht="16.5" customHeight="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75"/>
      <c r="R9" s="675"/>
      <c r="S9" s="675"/>
      <c r="AE9" s="114"/>
      <c r="AF9" s="658"/>
      <c r="AG9" s="658"/>
      <c r="AH9" s="658"/>
      <c r="AI9" s="658"/>
      <c r="AJ9" s="658"/>
      <c r="AK9" s="658"/>
      <c r="AL9" s="658"/>
      <c r="AM9" s="658"/>
      <c r="AN9" s="658"/>
      <c r="AO9" s="658"/>
      <c r="AP9" s="658"/>
      <c r="AQ9" s="658"/>
      <c r="AR9" s="253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</row>
    <row r="10" spans="1:60" ht="18.75" customHeight="1">
      <c r="A10" s="2" t="s">
        <v>234</v>
      </c>
      <c r="B10" s="2"/>
      <c r="C10" s="2"/>
      <c r="D10" s="2"/>
      <c r="P10" s="675"/>
      <c r="Q10" s="675"/>
      <c r="R10" s="675"/>
      <c r="S10" s="675"/>
      <c r="AE10" s="114"/>
      <c r="AF10" s="658"/>
      <c r="AG10" s="658"/>
      <c r="AH10" s="658"/>
      <c r="AI10" s="658"/>
      <c r="AJ10" s="658"/>
      <c r="AK10" s="658"/>
      <c r="AL10" s="658"/>
      <c r="AM10" s="658"/>
      <c r="AN10" s="658"/>
      <c r="AO10" s="658"/>
      <c r="AP10" s="658"/>
      <c r="AQ10" s="658"/>
      <c r="AR10" s="253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</row>
    <row r="11" spans="1:60" ht="18.75" hidden="1" customHeight="1">
      <c r="A11" s="63"/>
      <c r="B11" s="390" t="s">
        <v>424</v>
      </c>
      <c r="C11" s="390">
        <v>2019</v>
      </c>
      <c r="D11" s="390" t="s">
        <v>479</v>
      </c>
      <c r="E11" s="391">
        <v>2020</v>
      </c>
      <c r="F11" s="63"/>
      <c r="G11" s="63"/>
      <c r="H11" s="63"/>
      <c r="I11" s="63"/>
      <c r="J11" s="63"/>
      <c r="K11" s="63"/>
      <c r="L11" s="63"/>
      <c r="P11" s="675"/>
      <c r="Q11" s="675"/>
      <c r="R11" s="675"/>
      <c r="S11" s="675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</row>
    <row r="12" spans="1:60" s="3" customFormat="1" ht="99.75" customHeight="1">
      <c r="A12" s="6" t="s">
        <v>195</v>
      </c>
      <c r="B12" s="7" t="s">
        <v>17</v>
      </c>
      <c r="C12" s="7" t="s">
        <v>292</v>
      </c>
      <c r="D12" s="7" t="s">
        <v>287</v>
      </c>
      <c r="E12" s="7" t="s">
        <v>248</v>
      </c>
      <c r="F12" s="697" t="s">
        <v>289</v>
      </c>
      <c r="G12" s="697"/>
      <c r="H12" s="697" t="s">
        <v>293</v>
      </c>
      <c r="I12" s="697"/>
      <c r="J12" s="632"/>
      <c r="K12" s="601"/>
      <c r="L12" s="633"/>
      <c r="M12" s="114"/>
      <c r="N12" s="114"/>
      <c r="O12" s="114"/>
      <c r="P12" s="114"/>
      <c r="Q12" s="595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486"/>
      <c r="AQ12" s="486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</row>
    <row r="13" spans="1:60" s="3" customFormat="1" ht="18" customHeight="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97">
        <v>6</v>
      </c>
      <c r="G13" s="697"/>
      <c r="H13" s="697">
        <v>7</v>
      </c>
      <c r="I13" s="711"/>
      <c r="J13" s="114"/>
      <c r="K13" s="254"/>
      <c r="L13" s="634"/>
      <c r="M13" s="254"/>
      <c r="N13" s="25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496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</row>
    <row r="14" spans="1:60" s="3" customFormat="1" ht="18.75" customHeight="1">
      <c r="A14" s="10" t="s">
        <v>114</v>
      </c>
      <c r="B14" s="188">
        <f>B15+B16+B17+B18+B19+B20</f>
        <v>132</v>
      </c>
      <c r="C14" s="188">
        <f>C15+C16+C17+C18+C19+C20</f>
        <v>120</v>
      </c>
      <c r="D14" s="188">
        <f>D15+D16+D17+D18+D19+D20</f>
        <v>125</v>
      </c>
      <c r="E14" s="188">
        <f>E15+E16+E17+E18+E19+E20</f>
        <v>129</v>
      </c>
      <c r="F14" s="824">
        <f>E14/D14*100</f>
        <v>103.2</v>
      </c>
      <c r="G14" s="824"/>
      <c r="H14" s="824">
        <f>E14/B14*100</f>
        <v>97.727272727272734</v>
      </c>
      <c r="I14" s="824"/>
      <c r="J14" s="114"/>
      <c r="K14" s="254"/>
      <c r="L14" s="254"/>
      <c r="M14" s="254"/>
      <c r="N14" s="254"/>
      <c r="O14" s="254"/>
      <c r="P14" s="635"/>
      <c r="Q14" s="635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</row>
    <row r="15" spans="1:60" s="3" customFormat="1" ht="18.75" customHeight="1">
      <c r="A15" s="8" t="s">
        <v>217</v>
      </c>
      <c r="B15" s="484">
        <f>6+10</f>
        <v>16</v>
      </c>
      <c r="C15" s="484">
        <v>6</v>
      </c>
      <c r="D15" s="484">
        <f>6+4</f>
        <v>10</v>
      </c>
      <c r="E15" s="484">
        <v>10</v>
      </c>
      <c r="F15" s="824">
        <f t="shared" ref="F15:F36" si="0">E15/D15*100</f>
        <v>100</v>
      </c>
      <c r="G15" s="824"/>
      <c r="H15" s="824">
        <f t="shared" ref="H15:H36" si="1">E15/B15*100</f>
        <v>62.5</v>
      </c>
      <c r="I15" s="824"/>
      <c r="J15" s="636"/>
      <c r="K15" s="254"/>
      <c r="L15" s="637"/>
      <c r="M15" s="254"/>
      <c r="N15" s="254"/>
      <c r="O15" s="254"/>
      <c r="P15" s="635"/>
      <c r="Q15" s="635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</row>
    <row r="16" spans="1:60" s="3" customFormat="1" ht="18.75" customHeight="1">
      <c r="A16" s="8" t="s">
        <v>218</v>
      </c>
      <c r="B16" s="484">
        <f>37-10</f>
        <v>27</v>
      </c>
      <c r="C16" s="484">
        <v>37</v>
      </c>
      <c r="D16" s="484">
        <f>39-4-5</f>
        <v>30</v>
      </c>
      <c r="E16" s="484">
        <v>32</v>
      </c>
      <c r="F16" s="824">
        <f t="shared" si="0"/>
        <v>106.66666666666667</v>
      </c>
      <c r="G16" s="824"/>
      <c r="H16" s="824">
        <f t="shared" si="1"/>
        <v>118.5185185185185</v>
      </c>
      <c r="I16" s="824"/>
      <c r="J16" s="636"/>
      <c r="K16" s="114"/>
      <c r="L16" s="632"/>
      <c r="M16" s="114"/>
      <c r="N16" s="114"/>
      <c r="O16" s="114"/>
      <c r="P16" s="114"/>
      <c r="Q16" s="272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660"/>
      <c r="AG16" s="660"/>
      <c r="AH16" s="660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</row>
    <row r="17" spans="1:60" s="3" customFormat="1" ht="18.75" customHeight="1">
      <c r="A17" s="8" t="s">
        <v>219</v>
      </c>
      <c r="B17" s="484">
        <f>61+3</f>
        <v>64</v>
      </c>
      <c r="C17" s="484">
        <v>60</v>
      </c>
      <c r="D17" s="484">
        <f>61+5</f>
        <v>66</v>
      </c>
      <c r="E17" s="484">
        <v>68</v>
      </c>
      <c r="F17" s="824">
        <f t="shared" si="0"/>
        <v>103.03030303030303</v>
      </c>
      <c r="G17" s="824"/>
      <c r="H17" s="824">
        <f t="shared" si="1"/>
        <v>106.25</v>
      </c>
      <c r="I17" s="824"/>
      <c r="J17" s="636"/>
      <c r="K17" s="114"/>
      <c r="L17" s="632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577"/>
      <c r="AG17" s="592"/>
      <c r="AH17" s="661"/>
      <c r="AI17" s="661"/>
      <c r="AJ17" s="661"/>
      <c r="AK17" s="661"/>
      <c r="AL17" s="661"/>
      <c r="AM17" s="661"/>
      <c r="AN17" s="661"/>
      <c r="AO17" s="661"/>
      <c r="AP17" s="661"/>
      <c r="AQ17" s="661"/>
      <c r="AR17" s="661"/>
      <c r="AS17" s="661"/>
      <c r="AT17" s="661"/>
      <c r="AU17" s="661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</row>
    <row r="18" spans="1:60" s="3" customFormat="1" ht="18.75" customHeight="1">
      <c r="A18" s="8" t="s">
        <v>220</v>
      </c>
      <c r="B18" s="484">
        <v>8</v>
      </c>
      <c r="C18" s="484">
        <v>8</v>
      </c>
      <c r="D18" s="484">
        <v>9</v>
      </c>
      <c r="E18" s="484">
        <v>9</v>
      </c>
      <c r="F18" s="824">
        <f t="shared" si="0"/>
        <v>100</v>
      </c>
      <c r="G18" s="824"/>
      <c r="H18" s="824">
        <f t="shared" si="1"/>
        <v>112.5</v>
      </c>
      <c r="I18" s="824"/>
      <c r="J18" s="636"/>
      <c r="K18" s="114"/>
      <c r="L18" s="632"/>
      <c r="M18" s="254"/>
      <c r="N18" s="114"/>
      <c r="O18" s="114"/>
      <c r="P18" s="635"/>
      <c r="Q18" s="638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577"/>
      <c r="AG18" s="592"/>
      <c r="AH18" s="573"/>
      <c r="AI18" s="573"/>
      <c r="AJ18" s="573"/>
      <c r="AK18" s="573"/>
      <c r="AL18" s="573"/>
      <c r="AM18" s="573"/>
      <c r="AN18" s="573"/>
      <c r="AO18" s="573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</row>
    <row r="19" spans="1:60" s="3" customFormat="1" ht="18.75" customHeight="1">
      <c r="A19" s="8" t="s">
        <v>221</v>
      </c>
      <c r="B19" s="484">
        <v>12</v>
      </c>
      <c r="C19" s="484">
        <v>9</v>
      </c>
      <c r="D19" s="484">
        <v>8</v>
      </c>
      <c r="E19" s="484">
        <v>8</v>
      </c>
      <c r="F19" s="824">
        <f t="shared" si="0"/>
        <v>100</v>
      </c>
      <c r="G19" s="824"/>
      <c r="H19" s="824">
        <f t="shared" si="1"/>
        <v>66.666666666666657</v>
      </c>
      <c r="I19" s="824"/>
      <c r="J19" s="636"/>
      <c r="K19" s="639"/>
      <c r="L19" s="640"/>
      <c r="M19" s="639"/>
      <c r="N19" s="639"/>
      <c r="O19" s="639"/>
      <c r="P19" s="639"/>
      <c r="Q19" s="641"/>
      <c r="R19" s="639"/>
      <c r="S19" s="639"/>
      <c r="T19" s="639"/>
      <c r="U19" s="639"/>
      <c r="V19" s="639"/>
      <c r="W19" s="639"/>
      <c r="X19" s="639"/>
      <c r="Y19" s="639"/>
      <c r="Z19" s="114"/>
      <c r="AA19" s="114"/>
      <c r="AB19" s="114"/>
      <c r="AC19" s="114"/>
      <c r="AD19" s="114"/>
      <c r="AE19" s="114"/>
      <c r="AF19" s="577"/>
      <c r="AG19" s="662"/>
      <c r="AH19" s="573"/>
      <c r="AI19" s="573"/>
      <c r="AJ19" s="573"/>
      <c r="AK19" s="573"/>
      <c r="AL19" s="573"/>
      <c r="AM19" s="573"/>
      <c r="AN19" s="573"/>
      <c r="AO19" s="573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</row>
    <row r="20" spans="1:60" s="3" customFormat="1" ht="18.75" customHeight="1">
      <c r="A20" s="8" t="s">
        <v>222</v>
      </c>
      <c r="B20" s="484">
        <v>5</v>
      </c>
      <c r="C20" s="484"/>
      <c r="D20" s="484">
        <v>2</v>
      </c>
      <c r="E20" s="484">
        <v>2</v>
      </c>
      <c r="F20" s="824">
        <f t="shared" si="0"/>
        <v>100</v>
      </c>
      <c r="G20" s="824"/>
      <c r="H20" s="824">
        <f t="shared" si="1"/>
        <v>40</v>
      </c>
      <c r="I20" s="824"/>
      <c r="J20" s="636"/>
      <c r="K20" s="486"/>
      <c r="L20" s="640"/>
      <c r="M20" s="639"/>
      <c r="N20" s="639"/>
      <c r="O20" s="639"/>
      <c r="P20" s="639"/>
      <c r="Q20" s="641"/>
      <c r="R20" s="636"/>
      <c r="S20" s="486"/>
      <c r="T20" s="639"/>
      <c r="U20" s="635"/>
      <c r="V20" s="573"/>
      <c r="W20" s="639"/>
      <c r="X20" s="639"/>
      <c r="Y20" s="639"/>
      <c r="Z20" s="114"/>
      <c r="AA20" s="114"/>
      <c r="AB20" s="114"/>
      <c r="AC20" s="114"/>
      <c r="AD20" s="114"/>
      <c r="AE20" s="114"/>
      <c r="AF20" s="577"/>
      <c r="AG20" s="663"/>
      <c r="AH20" s="573"/>
      <c r="AI20" s="573"/>
      <c r="AJ20" s="573"/>
      <c r="AK20" s="573"/>
      <c r="AL20" s="573"/>
      <c r="AM20" s="573"/>
      <c r="AN20" s="573"/>
      <c r="AO20" s="573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</row>
    <row r="21" spans="1:60" s="3" customFormat="1" ht="18.75" customHeight="1">
      <c r="A21" s="369" t="s">
        <v>202</v>
      </c>
      <c r="B21" s="188">
        <f>B22+B23+B24</f>
        <v>13765.5</v>
      </c>
      <c r="C21" s="485">
        <f>C22+C23+C24</f>
        <v>26158.799999999999</v>
      </c>
      <c r="D21" s="188">
        <f>D22+D23+D24</f>
        <v>22463.1</v>
      </c>
      <c r="E21" s="188">
        <f>E22+E23+E24</f>
        <v>24579.100000000002</v>
      </c>
      <c r="F21" s="824">
        <f t="shared" ref="F21:F27" si="2">E21/D21*100</f>
        <v>109.41989306907776</v>
      </c>
      <c r="G21" s="824"/>
      <c r="H21" s="824">
        <f t="shared" si="1"/>
        <v>178.55580981439107</v>
      </c>
      <c r="I21" s="824"/>
      <c r="J21" s="642"/>
      <c r="K21" s="639"/>
      <c r="L21" s="639"/>
      <c r="M21" s="639"/>
      <c r="N21" s="639"/>
      <c r="O21" s="643"/>
      <c r="P21" s="644"/>
      <c r="Q21" s="645"/>
      <c r="R21" s="592"/>
      <c r="S21" s="639"/>
      <c r="T21" s="639"/>
      <c r="U21" s="635"/>
      <c r="V21" s="573"/>
      <c r="W21" s="639"/>
      <c r="X21" s="639"/>
      <c r="Y21" s="639"/>
      <c r="Z21" s="114"/>
      <c r="AA21" s="114"/>
      <c r="AB21" s="114"/>
      <c r="AC21" s="114"/>
      <c r="AD21" s="114"/>
      <c r="AE21" s="114"/>
      <c r="AF21" s="577"/>
      <c r="AG21" s="663"/>
      <c r="AH21" s="662"/>
      <c r="AI21" s="573"/>
      <c r="AJ21" s="573"/>
      <c r="AK21" s="573"/>
      <c r="AL21" s="573"/>
      <c r="AM21" s="573"/>
      <c r="AN21" s="573"/>
      <c r="AO21" s="573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</row>
    <row r="22" spans="1:60" s="3" customFormat="1" ht="18.75" customHeight="1">
      <c r="A22" s="8" t="s">
        <v>193</v>
      </c>
      <c r="B22" s="483">
        <v>262.2</v>
      </c>
      <c r="C22" s="483">
        <f>217.8+125</f>
        <v>342.8</v>
      </c>
      <c r="D22" s="484">
        <v>408.9</v>
      </c>
      <c r="E22" s="484">
        <f>447.4</f>
        <v>447.4</v>
      </c>
      <c r="F22" s="824">
        <f t="shared" si="2"/>
        <v>109.41550501345073</v>
      </c>
      <c r="G22" s="824"/>
      <c r="H22" s="824">
        <f t="shared" si="1"/>
        <v>170.63310450038139</v>
      </c>
      <c r="I22" s="824"/>
      <c r="J22" s="635"/>
      <c r="K22" s="639"/>
      <c r="L22" s="643"/>
      <c r="M22" s="644"/>
      <c r="N22" s="639"/>
      <c r="O22" s="643"/>
      <c r="P22" s="639"/>
      <c r="Q22" s="645"/>
      <c r="R22" s="635"/>
      <c r="S22" s="639"/>
      <c r="T22" s="644"/>
      <c r="U22" s="635"/>
      <c r="V22" s="646"/>
      <c r="W22" s="639"/>
      <c r="X22" s="639"/>
      <c r="Y22" s="639"/>
      <c r="Z22" s="114"/>
      <c r="AA22" s="114"/>
      <c r="AB22" s="114"/>
      <c r="AC22" s="114"/>
      <c r="AD22" s="114"/>
      <c r="AE22" s="114"/>
      <c r="AF22" s="577"/>
      <c r="AG22" s="663"/>
      <c r="AH22" s="662"/>
      <c r="AI22" s="662"/>
      <c r="AJ22" s="662"/>
      <c r="AK22" s="662"/>
      <c r="AL22" s="573"/>
      <c r="AM22" s="573"/>
      <c r="AN22" s="573"/>
      <c r="AO22" s="573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</row>
    <row r="23" spans="1:60" s="3" customFormat="1" ht="18.75" customHeight="1">
      <c r="A23" s="8" t="s">
        <v>204</v>
      </c>
      <c r="B23" s="483">
        <v>1062.9000000000001</v>
      </c>
      <c r="C23" s="483">
        <f>978+230</f>
        <v>1208</v>
      </c>
      <c r="D23" s="484">
        <v>1625.2</v>
      </c>
      <c r="E23" s="484">
        <v>1778.3</v>
      </c>
      <c r="F23" s="824">
        <f t="shared" si="2"/>
        <v>109.4203790302732</v>
      </c>
      <c r="G23" s="824"/>
      <c r="H23" s="824">
        <f t="shared" si="1"/>
        <v>167.30642581616331</v>
      </c>
      <c r="I23" s="824"/>
      <c r="J23" s="635"/>
      <c r="K23" s="639"/>
      <c r="L23" s="643"/>
      <c r="M23" s="644"/>
      <c r="N23" s="639"/>
      <c r="O23" s="643"/>
      <c r="P23" s="639"/>
      <c r="Q23" s="645"/>
      <c r="R23" s="635"/>
      <c r="S23" s="639"/>
      <c r="T23" s="644"/>
      <c r="U23" s="635"/>
      <c r="V23" s="254"/>
      <c r="W23" s="639"/>
      <c r="X23" s="639"/>
      <c r="Y23" s="639"/>
      <c r="Z23" s="114"/>
      <c r="AA23" s="114"/>
      <c r="AB23" s="114"/>
      <c r="AC23" s="114"/>
      <c r="AD23" s="114"/>
      <c r="AE23" s="114"/>
      <c r="AF23" s="577"/>
      <c r="AG23" s="663"/>
      <c r="AH23" s="662"/>
      <c r="AI23" s="573"/>
      <c r="AJ23" s="573"/>
      <c r="AK23" s="573"/>
      <c r="AL23" s="573"/>
      <c r="AM23" s="573"/>
      <c r="AN23" s="573"/>
      <c r="AO23" s="573"/>
      <c r="AP23" s="114"/>
      <c r="AQ23" s="114"/>
      <c r="AR23" s="114"/>
      <c r="AS23" s="114"/>
      <c r="AT23" s="114"/>
      <c r="AU23" s="114"/>
      <c r="AV23" s="114"/>
      <c r="AW23" s="664"/>
      <c r="AX23" s="66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</row>
    <row r="24" spans="1:60" s="3" customFormat="1" ht="18.75" customHeight="1">
      <c r="A24" s="8" t="s">
        <v>194</v>
      </c>
      <c r="B24" s="483">
        <f>13765.5-B22-B23</f>
        <v>12440.4</v>
      </c>
      <c r="C24" s="483">
        <f>26158.8-C23-C22</f>
        <v>24608</v>
      </c>
      <c r="D24" s="484">
        <v>20429</v>
      </c>
      <c r="E24" s="484">
        <v>22353.4</v>
      </c>
      <c r="F24" s="824">
        <f t="shared" si="2"/>
        <v>109.41994223897402</v>
      </c>
      <c r="G24" s="824"/>
      <c r="H24" s="824">
        <f t="shared" si="1"/>
        <v>179.68393299250829</v>
      </c>
      <c r="I24" s="824"/>
      <c r="J24" s="592"/>
      <c r="K24" s="639"/>
      <c r="L24" s="647"/>
      <c r="M24" s="639"/>
      <c r="N24" s="639"/>
      <c r="O24" s="643"/>
      <c r="P24" s="639"/>
      <c r="Q24" s="645"/>
      <c r="R24" s="592"/>
      <c r="S24" s="639"/>
      <c r="T24" s="639"/>
      <c r="U24" s="635"/>
      <c r="V24" s="254"/>
      <c r="W24" s="639"/>
      <c r="X24" s="639"/>
      <c r="Y24" s="639"/>
      <c r="Z24" s="114"/>
      <c r="AA24" s="114"/>
      <c r="AB24" s="114"/>
      <c r="AC24" s="114"/>
      <c r="AD24" s="114"/>
      <c r="AE24" s="114"/>
      <c r="AF24" s="577"/>
      <c r="AG24" s="663"/>
      <c r="AH24" s="573"/>
      <c r="AI24" s="592"/>
      <c r="AJ24" s="592"/>
      <c r="AK24" s="573"/>
      <c r="AL24" s="573"/>
      <c r="AM24" s="573"/>
      <c r="AN24" s="573"/>
      <c r="AO24" s="573"/>
      <c r="AP24" s="592"/>
      <c r="AQ24" s="592"/>
      <c r="AR24" s="573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</row>
    <row r="25" spans="1:60" s="3" customFormat="1" ht="18.75" customHeight="1">
      <c r="A25" s="369" t="s">
        <v>203</v>
      </c>
      <c r="B25" s="188">
        <f>B26+B27+B28</f>
        <v>16349.7</v>
      </c>
      <c r="C25" s="188">
        <f>C26+C27+C28</f>
        <v>31118.5</v>
      </c>
      <c r="D25" s="188">
        <f>D26+D27+D28</f>
        <v>26723.7</v>
      </c>
      <c r="E25" s="485">
        <f>E26+E27+E28</f>
        <v>29241</v>
      </c>
      <c r="F25" s="824">
        <f t="shared" si="2"/>
        <v>109.41972855555181</v>
      </c>
      <c r="G25" s="824"/>
      <c r="H25" s="824">
        <f t="shared" si="1"/>
        <v>178.84731829941833</v>
      </c>
      <c r="I25" s="824"/>
      <c r="J25" s="592"/>
      <c r="K25" s="639"/>
      <c r="L25" s="648"/>
      <c r="M25" s="639"/>
      <c r="N25" s="639"/>
      <c r="O25" s="639"/>
      <c r="P25" s="639"/>
      <c r="Q25" s="645"/>
      <c r="R25" s="592"/>
      <c r="S25" s="639"/>
      <c r="T25" s="639"/>
      <c r="U25" s="635"/>
      <c r="V25" s="254"/>
      <c r="W25" s="639"/>
      <c r="X25" s="639"/>
      <c r="Y25" s="639"/>
      <c r="Z25" s="114"/>
      <c r="AA25" s="114"/>
      <c r="AB25" s="114"/>
      <c r="AC25" s="114"/>
      <c r="AD25" s="114"/>
      <c r="AE25" s="114"/>
      <c r="AF25" s="577"/>
      <c r="AG25" s="663"/>
      <c r="AH25" s="573"/>
      <c r="AI25" s="573"/>
      <c r="AJ25" s="573"/>
      <c r="AK25" s="646"/>
      <c r="AL25" s="573"/>
      <c r="AM25" s="573"/>
      <c r="AN25" s="573"/>
      <c r="AO25" s="573"/>
      <c r="AP25" s="573"/>
      <c r="AQ25" s="573"/>
      <c r="AR25" s="646"/>
      <c r="AS25" s="114"/>
      <c r="AT25" s="573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</row>
    <row r="26" spans="1:60" s="3" customFormat="1" ht="18.75" customHeight="1">
      <c r="A26" s="8" t="s">
        <v>193</v>
      </c>
      <c r="B26" s="483">
        <f>B22+49.2</f>
        <v>311.39999999999998</v>
      </c>
      <c r="C26" s="483">
        <f>C22+75.4</f>
        <v>418.20000000000005</v>
      </c>
      <c r="D26" s="483">
        <f>D22+74.9</f>
        <v>483.79999999999995</v>
      </c>
      <c r="E26" s="483">
        <f>E22+81.9</f>
        <v>529.29999999999995</v>
      </c>
      <c r="F26" s="824">
        <f t="shared" si="2"/>
        <v>109.40471269119472</v>
      </c>
      <c r="G26" s="824"/>
      <c r="H26" s="824">
        <f t="shared" si="1"/>
        <v>169.97430956968529</v>
      </c>
      <c r="I26" s="824"/>
      <c r="J26" s="636"/>
      <c r="K26" s="486"/>
      <c r="L26" s="640"/>
      <c r="M26" s="639"/>
      <c r="N26" s="639"/>
      <c r="O26" s="643"/>
      <c r="P26" s="644"/>
      <c r="Q26" s="645"/>
      <c r="R26" s="636"/>
      <c r="S26" s="486"/>
      <c r="T26" s="639"/>
      <c r="U26" s="635"/>
      <c r="V26" s="254"/>
      <c r="W26" s="639"/>
      <c r="X26" s="639"/>
      <c r="Y26" s="639"/>
      <c r="Z26" s="114"/>
      <c r="AA26" s="114"/>
      <c r="AB26" s="114"/>
      <c r="AC26" s="114"/>
      <c r="AD26" s="114"/>
      <c r="AE26" s="114"/>
      <c r="AF26" s="638"/>
      <c r="AG26" s="638"/>
      <c r="AH26" s="573"/>
      <c r="AI26" s="573"/>
      <c r="AJ26" s="573"/>
      <c r="AK26" s="646"/>
      <c r="AL26" s="114"/>
      <c r="AM26" s="114"/>
      <c r="AN26" s="114"/>
      <c r="AO26" s="573"/>
      <c r="AP26" s="573"/>
      <c r="AQ26" s="573"/>
      <c r="AR26" s="646"/>
      <c r="AS26" s="114"/>
      <c r="AT26" s="573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</row>
    <row r="27" spans="1:60" s="3" customFormat="1" ht="18.75" customHeight="1">
      <c r="A27" s="8" t="s">
        <v>204</v>
      </c>
      <c r="B27" s="483">
        <f>B23+199.5</f>
        <v>1262.4000000000001</v>
      </c>
      <c r="C27" s="483">
        <f>C23+235.6</f>
        <v>1443.6</v>
      </c>
      <c r="D27" s="483">
        <f>D23+297.5</f>
        <v>1922.7</v>
      </c>
      <c r="E27" s="483">
        <f>E23+325.5</f>
        <v>2103.8000000000002</v>
      </c>
      <c r="F27" s="824">
        <f t="shared" si="2"/>
        <v>109.41904613304207</v>
      </c>
      <c r="G27" s="824"/>
      <c r="H27" s="824">
        <f t="shared" si="1"/>
        <v>166.65082382762992</v>
      </c>
      <c r="I27" s="824"/>
      <c r="J27" s="642"/>
      <c r="K27" s="639"/>
      <c r="L27" s="639"/>
      <c r="M27" s="639"/>
      <c r="N27" s="639"/>
      <c r="O27" s="643"/>
      <c r="P27" s="639"/>
      <c r="Q27" s="645"/>
      <c r="R27" s="592"/>
      <c r="S27" s="639"/>
      <c r="T27" s="643"/>
      <c r="U27" s="635"/>
      <c r="V27" s="573"/>
      <c r="W27" s="639"/>
      <c r="X27" s="639"/>
      <c r="Y27" s="639"/>
      <c r="Z27" s="114"/>
      <c r="AA27" s="114"/>
      <c r="AB27" s="114"/>
      <c r="AC27" s="114"/>
      <c r="AD27" s="114"/>
      <c r="AE27" s="114"/>
      <c r="AF27" s="665"/>
      <c r="AG27" s="665"/>
      <c r="AH27" s="573"/>
      <c r="AI27" s="573"/>
      <c r="AJ27" s="573"/>
      <c r="AK27" s="646"/>
      <c r="AL27" s="114"/>
      <c r="AM27" s="114"/>
      <c r="AN27" s="114"/>
      <c r="AO27" s="573"/>
      <c r="AP27" s="573"/>
      <c r="AQ27" s="573"/>
      <c r="AR27" s="646"/>
      <c r="AS27" s="114"/>
      <c r="AT27" s="573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</row>
    <row r="28" spans="1:60" s="3" customFormat="1" ht="18.75" customHeight="1">
      <c r="A28" s="8" t="s">
        <v>194</v>
      </c>
      <c r="B28" s="483">
        <f>B24+2335.5</f>
        <v>14775.9</v>
      </c>
      <c r="C28" s="483">
        <f>(4959.7-235.6-75.4)+C24</f>
        <v>29256.7</v>
      </c>
      <c r="D28" s="483">
        <f>D24+3888.2</f>
        <v>24317.200000000001</v>
      </c>
      <c r="E28" s="483">
        <f>E24+4254.5</f>
        <v>26607.9</v>
      </c>
      <c r="F28" s="824">
        <f t="shared" si="0"/>
        <v>109.42008125935551</v>
      </c>
      <c r="G28" s="824"/>
      <c r="H28" s="824">
        <f t="shared" si="1"/>
        <v>180.0763405274806</v>
      </c>
      <c r="I28" s="824"/>
      <c r="J28" s="635"/>
      <c r="K28" s="639"/>
      <c r="L28" s="643"/>
      <c r="M28" s="644"/>
      <c r="N28" s="639"/>
      <c r="O28" s="643"/>
      <c r="P28" s="639"/>
      <c r="Q28" s="645"/>
      <c r="R28" s="635"/>
      <c r="S28" s="639"/>
      <c r="T28" s="644"/>
      <c r="U28" s="635"/>
      <c r="V28" s="573"/>
      <c r="W28" s="639"/>
      <c r="X28" s="639"/>
      <c r="Y28" s="639"/>
      <c r="Z28" s="114"/>
      <c r="AA28" s="114"/>
      <c r="AB28" s="114"/>
      <c r="AC28" s="114"/>
      <c r="AD28" s="114"/>
      <c r="AE28" s="114"/>
      <c r="AF28" s="666"/>
      <c r="AG28" s="667"/>
      <c r="AH28" s="114"/>
      <c r="AI28" s="114"/>
      <c r="AJ28" s="114"/>
      <c r="AK28" s="254"/>
      <c r="AL28" s="573"/>
      <c r="AM28" s="114"/>
      <c r="AN28" s="114"/>
      <c r="AO28" s="114"/>
      <c r="AP28" s="114"/>
      <c r="AQ28" s="114"/>
      <c r="AR28" s="114"/>
      <c r="AS28" s="646"/>
      <c r="AT28" s="646"/>
      <c r="AU28" s="25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</row>
    <row r="29" spans="1:60" s="3" customFormat="1" ht="18.75" customHeight="1">
      <c r="A29" s="10" t="s">
        <v>223</v>
      </c>
      <c r="B29" s="340">
        <f>B21/B14/12*1000</f>
        <v>8690.3409090909081</v>
      </c>
      <c r="C29" s="340">
        <f>C21/C14/12*1000</f>
        <v>18165.833333333332</v>
      </c>
      <c r="D29" s="340">
        <f t="shared" ref="D29:E29" si="3">D21/D14/12*1000</f>
        <v>14975.399999999998</v>
      </c>
      <c r="E29" s="340">
        <f t="shared" si="3"/>
        <v>15877.97157622739</v>
      </c>
      <c r="F29" s="824">
        <f t="shared" si="0"/>
        <v>106.02702816771099</v>
      </c>
      <c r="G29" s="824"/>
      <c r="H29" s="824">
        <f t="shared" si="1"/>
        <v>182.70827050774901</v>
      </c>
      <c r="I29" s="824"/>
      <c r="J29" s="635"/>
      <c r="K29" s="639"/>
      <c r="L29" s="643"/>
      <c r="M29" s="644"/>
      <c r="N29" s="639"/>
      <c r="O29" s="643"/>
      <c r="P29" s="639"/>
      <c r="Q29" s="645"/>
      <c r="R29" s="635"/>
      <c r="S29" s="639"/>
      <c r="T29" s="644"/>
      <c r="U29" s="635"/>
      <c r="V29" s="573"/>
      <c r="W29" s="639"/>
      <c r="X29" s="639"/>
      <c r="Y29" s="639"/>
      <c r="Z29" s="114"/>
      <c r="AA29" s="114"/>
      <c r="AB29" s="114"/>
      <c r="AC29" s="114"/>
      <c r="AD29" s="114"/>
      <c r="AE29" s="114"/>
      <c r="AF29" s="666"/>
      <c r="AG29" s="667"/>
      <c r="AH29" s="114"/>
      <c r="AI29" s="114"/>
      <c r="AJ29" s="114"/>
      <c r="AK29" s="114"/>
      <c r="AL29" s="114"/>
      <c r="AM29" s="254"/>
      <c r="AN29" s="114"/>
      <c r="AO29" s="114"/>
      <c r="AP29" s="573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</row>
    <row r="30" spans="1:60" s="3" customFormat="1" ht="18.75" customHeight="1">
      <c r="A30" s="8" t="s">
        <v>193</v>
      </c>
      <c r="B30" s="189">
        <f>B22/1/12*1000</f>
        <v>21849.999999999996</v>
      </c>
      <c r="C30" s="189">
        <f t="shared" ref="C30:E30" si="4">C22/1/12*1000</f>
        <v>28566.666666666668</v>
      </c>
      <c r="D30" s="189">
        <f t="shared" si="4"/>
        <v>34074.999999999993</v>
      </c>
      <c r="E30" s="189">
        <f t="shared" si="4"/>
        <v>37283.333333333328</v>
      </c>
      <c r="F30" s="824">
        <f t="shared" si="0"/>
        <v>109.41550501345073</v>
      </c>
      <c r="G30" s="824"/>
      <c r="H30" s="824">
        <f t="shared" si="1"/>
        <v>170.63310450038139</v>
      </c>
      <c r="I30" s="824"/>
      <c r="J30" s="592"/>
      <c r="K30" s="639"/>
      <c r="L30" s="647"/>
      <c r="M30" s="639"/>
      <c r="N30" s="639"/>
      <c r="O30" s="639"/>
      <c r="P30" s="639"/>
      <c r="Q30" s="639"/>
      <c r="R30" s="114"/>
      <c r="S30" s="639"/>
      <c r="T30" s="639"/>
      <c r="U30" s="639"/>
      <c r="V30" s="646"/>
      <c r="W30" s="639"/>
      <c r="X30" s="639"/>
      <c r="Y30" s="639"/>
      <c r="Z30" s="114"/>
      <c r="AA30" s="114"/>
      <c r="AB30" s="114"/>
      <c r="AC30" s="114"/>
      <c r="AD30" s="114"/>
      <c r="AE30" s="114"/>
      <c r="AF30" s="666"/>
      <c r="AG30" s="666"/>
      <c r="AH30" s="668"/>
      <c r="AI30" s="668"/>
      <c r="AJ30" s="668"/>
      <c r="AK30" s="114"/>
      <c r="AL30" s="114"/>
      <c r="AM30" s="646"/>
      <c r="AN30" s="573"/>
      <c r="AO30" s="638"/>
      <c r="AP30" s="573"/>
      <c r="AQ30" s="114"/>
      <c r="AR30" s="573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</row>
    <row r="31" spans="1:60" s="3" customFormat="1" ht="18.75" customHeight="1">
      <c r="A31" s="8" t="s">
        <v>204</v>
      </c>
      <c r="B31" s="189">
        <f>B23/5/12*1000</f>
        <v>17715</v>
      </c>
      <c r="C31" s="189">
        <f t="shared" ref="C31:E31" si="5">C23/5/12*1000</f>
        <v>20133.333333333332</v>
      </c>
      <c r="D31" s="189">
        <f t="shared" si="5"/>
        <v>27086.666666666668</v>
      </c>
      <c r="E31" s="189">
        <f t="shared" si="5"/>
        <v>29638.333333333332</v>
      </c>
      <c r="F31" s="824">
        <f t="shared" si="0"/>
        <v>109.4203790302732</v>
      </c>
      <c r="G31" s="824"/>
      <c r="H31" s="824">
        <f t="shared" si="1"/>
        <v>167.30642581616334</v>
      </c>
      <c r="I31" s="824"/>
      <c r="J31" s="601"/>
      <c r="K31" s="649"/>
      <c r="L31" s="650"/>
      <c r="M31" s="639"/>
      <c r="N31" s="639"/>
      <c r="O31" s="639"/>
      <c r="P31" s="639"/>
      <c r="Q31" s="639"/>
      <c r="R31" s="601"/>
      <c r="S31" s="649"/>
      <c r="T31" s="639"/>
      <c r="U31" s="639"/>
      <c r="V31" s="254"/>
      <c r="W31" s="639"/>
      <c r="X31" s="639"/>
      <c r="Y31" s="639"/>
      <c r="Z31" s="114"/>
      <c r="AA31" s="114"/>
      <c r="AB31" s="114"/>
      <c r="AC31" s="114"/>
      <c r="AD31" s="114"/>
      <c r="AE31" s="114"/>
      <c r="AF31" s="669"/>
      <c r="AG31" s="670"/>
      <c r="AH31" s="114"/>
      <c r="AI31" s="573"/>
      <c r="AJ31" s="573"/>
      <c r="AK31" s="573"/>
      <c r="AL31" s="114"/>
      <c r="AM31" s="646"/>
      <c r="AN31" s="573"/>
      <c r="AO31" s="114"/>
      <c r="AP31" s="114"/>
      <c r="AQ31" s="114"/>
      <c r="AR31" s="646"/>
      <c r="AS31" s="114"/>
      <c r="AT31" s="573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</row>
    <row r="32" spans="1:60" s="3" customFormat="1" ht="18.75" customHeight="1">
      <c r="A32" s="8" t="s">
        <v>194</v>
      </c>
      <c r="B32" s="189">
        <f>B24/(B14-6)/12*1000</f>
        <v>8227.7777777777774</v>
      </c>
      <c r="C32" s="189">
        <f t="shared" ref="C32:D32" si="6">C24/(C14-6)/12*1000</f>
        <v>17988.304093567251</v>
      </c>
      <c r="D32" s="189">
        <f t="shared" si="6"/>
        <v>14306.022408963585</v>
      </c>
      <c r="E32" s="189">
        <f>E24/(E14-6)/12*1000</f>
        <v>15144.579945799458</v>
      </c>
      <c r="F32" s="824">
        <f t="shared" si="0"/>
        <v>105.86157013364152</v>
      </c>
      <c r="G32" s="824"/>
      <c r="H32" s="824">
        <f t="shared" si="1"/>
        <v>184.06646794354509</v>
      </c>
      <c r="I32" s="824"/>
      <c r="J32" s="636"/>
      <c r="K32" s="486"/>
      <c r="L32" s="640"/>
      <c r="M32" s="639"/>
      <c r="N32" s="639"/>
      <c r="O32" s="639"/>
      <c r="P32" s="639"/>
      <c r="Q32" s="639"/>
      <c r="R32" s="636"/>
      <c r="S32" s="486"/>
      <c r="T32" s="639"/>
      <c r="U32" s="639"/>
      <c r="V32" s="114"/>
      <c r="W32" s="639"/>
      <c r="X32" s="639"/>
      <c r="Y32" s="639"/>
      <c r="Z32" s="114"/>
      <c r="AA32" s="114"/>
      <c r="AB32" s="114"/>
      <c r="AC32" s="114"/>
      <c r="AD32" s="114"/>
      <c r="AE32" s="114"/>
      <c r="AF32" s="577"/>
      <c r="AG32" s="671"/>
      <c r="AH32" s="114"/>
      <c r="AI32" s="573"/>
      <c r="AJ32" s="573"/>
      <c r="AK32" s="573"/>
      <c r="AL32" s="114"/>
      <c r="AM32" s="646"/>
      <c r="AN32" s="573"/>
      <c r="AO32" s="114"/>
      <c r="AP32" s="114"/>
      <c r="AQ32" s="114"/>
      <c r="AR32" s="646"/>
      <c r="AS32" s="114"/>
      <c r="AT32" s="573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</row>
    <row r="33" spans="1:60" s="3" customFormat="1" ht="18.75" customHeight="1">
      <c r="A33" s="10" t="s">
        <v>224</v>
      </c>
      <c r="B33" s="188"/>
      <c r="C33" s="188"/>
      <c r="D33" s="188"/>
      <c r="E33" s="188"/>
      <c r="F33" s="825" t="e">
        <f t="shared" si="0"/>
        <v>#DIV/0!</v>
      </c>
      <c r="G33" s="825"/>
      <c r="H33" s="825" t="e">
        <f t="shared" si="1"/>
        <v>#DIV/0!</v>
      </c>
      <c r="I33" s="825"/>
      <c r="J33" s="642"/>
      <c r="K33" s="639"/>
      <c r="L33" s="639"/>
      <c r="M33" s="639"/>
      <c r="N33" s="639"/>
      <c r="O33" s="639"/>
      <c r="P33" s="639"/>
      <c r="Q33" s="639"/>
      <c r="R33" s="592"/>
      <c r="S33" s="639"/>
      <c r="T33" s="639"/>
      <c r="U33" s="639"/>
      <c r="V33" s="114"/>
      <c r="W33" s="639"/>
      <c r="X33" s="639"/>
      <c r="Y33" s="639"/>
      <c r="Z33" s="114"/>
      <c r="AA33" s="114"/>
      <c r="AB33" s="114"/>
      <c r="AC33" s="114"/>
      <c r="AD33" s="114"/>
      <c r="AE33" s="114"/>
      <c r="AF33" s="577"/>
      <c r="AG33" s="671"/>
      <c r="AH33" s="114"/>
      <c r="AI33" s="573"/>
      <c r="AJ33" s="573"/>
      <c r="AK33" s="573"/>
      <c r="AL33" s="114"/>
      <c r="AM33" s="646"/>
      <c r="AN33" s="573"/>
      <c r="AO33" s="114"/>
      <c r="AP33" s="114"/>
      <c r="AQ33" s="114"/>
      <c r="AR33" s="646"/>
      <c r="AS33" s="114"/>
      <c r="AT33" s="573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</row>
    <row r="34" spans="1:60" s="3" customFormat="1" ht="18.75" customHeight="1">
      <c r="A34" s="8" t="s">
        <v>193</v>
      </c>
      <c r="B34" s="190"/>
      <c r="C34" s="191"/>
      <c r="D34" s="190"/>
      <c r="E34" s="190"/>
      <c r="F34" s="825" t="e">
        <f t="shared" si="0"/>
        <v>#DIV/0!</v>
      </c>
      <c r="G34" s="825"/>
      <c r="H34" s="825" t="e">
        <f t="shared" si="1"/>
        <v>#DIV/0!</v>
      </c>
      <c r="I34" s="825"/>
      <c r="J34" s="635"/>
      <c r="K34" s="639"/>
      <c r="L34" s="651"/>
      <c r="M34" s="644"/>
      <c r="N34" s="639"/>
      <c r="O34" s="652"/>
      <c r="P34" s="652"/>
      <c r="Q34" s="639"/>
      <c r="R34" s="635"/>
      <c r="S34" s="651"/>
      <c r="T34" s="644"/>
      <c r="U34" s="639"/>
      <c r="V34" s="114"/>
      <c r="W34" s="639"/>
      <c r="X34" s="639"/>
      <c r="Y34" s="639"/>
      <c r="Z34" s="114"/>
      <c r="AA34" s="114"/>
      <c r="AB34" s="114"/>
      <c r="AC34" s="114"/>
      <c r="AD34" s="114"/>
      <c r="AE34" s="114"/>
      <c r="AF34" s="577"/>
      <c r="AG34" s="671"/>
      <c r="AH34" s="114"/>
      <c r="AI34" s="114"/>
      <c r="AJ34" s="114"/>
      <c r="AK34" s="573"/>
      <c r="AL34" s="114"/>
      <c r="AM34" s="254"/>
      <c r="AN34" s="573"/>
      <c r="AO34" s="114"/>
      <c r="AP34" s="114"/>
      <c r="AQ34" s="114"/>
      <c r="AR34" s="114"/>
      <c r="AS34" s="646"/>
      <c r="AT34" s="646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</row>
    <row r="35" spans="1:60" s="3" customFormat="1" ht="18.75" customHeight="1">
      <c r="A35" s="8" t="s">
        <v>204</v>
      </c>
      <c r="B35" s="190"/>
      <c r="C35" s="190"/>
      <c r="D35" s="190"/>
      <c r="E35" s="190"/>
      <c r="F35" s="825" t="e">
        <f t="shared" si="0"/>
        <v>#DIV/0!</v>
      </c>
      <c r="G35" s="825"/>
      <c r="H35" s="825" t="e">
        <f t="shared" si="1"/>
        <v>#DIV/0!</v>
      </c>
      <c r="I35" s="825"/>
      <c r="J35" s="635"/>
      <c r="K35" s="639"/>
      <c r="L35" s="643"/>
      <c r="M35" s="644"/>
      <c r="N35" s="639"/>
      <c r="O35" s="652"/>
      <c r="P35" s="652"/>
      <c r="Q35" s="639"/>
      <c r="R35" s="635"/>
      <c r="S35" s="639"/>
      <c r="T35" s="644"/>
      <c r="U35" s="639"/>
      <c r="V35" s="114"/>
      <c r="W35" s="639"/>
      <c r="X35" s="639"/>
      <c r="Y35" s="639"/>
      <c r="Z35" s="114"/>
      <c r="AA35" s="114"/>
      <c r="AB35" s="114"/>
      <c r="AC35" s="114"/>
      <c r="AD35" s="114"/>
      <c r="AE35" s="114"/>
      <c r="AF35" s="577"/>
      <c r="AG35" s="671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</row>
    <row r="36" spans="1:60" s="3" customFormat="1" ht="18.75" customHeight="1">
      <c r="A36" s="8" t="s">
        <v>194</v>
      </c>
      <c r="B36" s="190"/>
      <c r="C36" s="190"/>
      <c r="D36" s="190"/>
      <c r="E36" s="190"/>
      <c r="F36" s="825" t="e">
        <f t="shared" si="0"/>
        <v>#DIV/0!</v>
      </c>
      <c r="G36" s="825"/>
      <c r="H36" s="825" t="e">
        <f t="shared" si="1"/>
        <v>#DIV/0!</v>
      </c>
      <c r="I36" s="825"/>
      <c r="J36" s="592"/>
      <c r="K36" s="639"/>
      <c r="L36" s="647"/>
      <c r="M36" s="639"/>
      <c r="N36" s="639"/>
      <c r="O36" s="652"/>
      <c r="P36" s="652"/>
      <c r="Q36" s="639"/>
      <c r="R36" s="114"/>
      <c r="S36" s="639"/>
      <c r="T36" s="647"/>
      <c r="U36" s="639"/>
      <c r="V36" s="639"/>
      <c r="W36" s="639"/>
      <c r="X36" s="639"/>
      <c r="Y36" s="639"/>
      <c r="Z36" s="114"/>
      <c r="AA36" s="114"/>
      <c r="AB36" s="114"/>
      <c r="AC36" s="114"/>
      <c r="AD36" s="114"/>
      <c r="AE36" s="114"/>
      <c r="AF36" s="577"/>
      <c r="AG36" s="671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573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</row>
    <row r="37" spans="1:60" ht="18.75" customHeight="1">
      <c r="A37" s="192"/>
      <c r="B37" s="192"/>
      <c r="C37" s="192"/>
      <c r="D37" s="192"/>
      <c r="E37" s="192"/>
      <c r="F37" s="20"/>
      <c r="G37" s="20"/>
      <c r="H37" s="20"/>
      <c r="I37" s="20"/>
      <c r="J37" s="653"/>
      <c r="K37" s="654"/>
      <c r="L37" s="654"/>
      <c r="M37" s="654"/>
      <c r="N37" s="654"/>
      <c r="O37" s="654"/>
      <c r="P37" s="654"/>
      <c r="Q37" s="655"/>
      <c r="R37" s="655"/>
      <c r="S37" s="655"/>
      <c r="T37" s="655"/>
      <c r="U37" s="655"/>
      <c r="V37" s="655"/>
      <c r="W37" s="655"/>
      <c r="X37" s="655"/>
      <c r="Y37" s="655"/>
      <c r="Z37" s="115"/>
      <c r="AA37" s="115"/>
      <c r="AB37" s="115"/>
      <c r="AC37" s="115"/>
      <c r="AD37" s="115"/>
      <c r="AE37" s="114"/>
      <c r="AF37" s="577"/>
      <c r="AG37" s="671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573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</row>
    <row r="38" spans="1:60" ht="18.75" customHeight="1">
      <c r="A38" s="20"/>
      <c r="B38" s="20"/>
      <c r="C38" s="20"/>
      <c r="D38" s="20"/>
      <c r="E38" s="20"/>
      <c r="F38" s="20"/>
      <c r="G38" s="20"/>
      <c r="H38" s="20"/>
      <c r="I38" s="20"/>
      <c r="J38" s="115"/>
      <c r="K38" s="655"/>
      <c r="L38" s="655"/>
      <c r="M38" s="655"/>
      <c r="N38" s="655"/>
      <c r="O38" s="655"/>
      <c r="P38" s="655"/>
      <c r="Q38" s="655"/>
      <c r="R38" s="655"/>
      <c r="S38" s="655"/>
      <c r="T38" s="655"/>
      <c r="U38" s="655"/>
      <c r="V38" s="655"/>
      <c r="W38" s="655"/>
      <c r="X38" s="655"/>
      <c r="Y38" s="655"/>
      <c r="Z38" s="115"/>
      <c r="AA38" s="115"/>
      <c r="AB38" s="115"/>
      <c r="AC38" s="115"/>
      <c r="AD38" s="115"/>
      <c r="AE38" s="114"/>
      <c r="AF38" s="577"/>
      <c r="AG38" s="671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573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</row>
    <row r="39" spans="1:60" ht="32.25" customHeight="1">
      <c r="A39" s="5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54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</row>
    <row r="40" spans="1:60" ht="21.95" customHeight="1">
      <c r="A40" s="224" t="s">
        <v>267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5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</row>
    <row r="41" spans="1:60" ht="20.100000000000001" customHeight="1">
      <c r="A41" s="193"/>
      <c r="H41" s="826" t="s">
        <v>464</v>
      </c>
      <c r="I41" s="826"/>
      <c r="AA41" s="241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</row>
    <row r="42" spans="1:60" ht="93" customHeight="1">
      <c r="A42" s="697" t="s">
        <v>195</v>
      </c>
      <c r="B42" s="736" t="s">
        <v>225</v>
      </c>
      <c r="C42" s="745"/>
      <c r="D42" s="736" t="s">
        <v>458</v>
      </c>
      <c r="E42" s="745"/>
      <c r="F42" s="736" t="s">
        <v>459</v>
      </c>
      <c r="G42" s="738"/>
      <c r="H42" s="736" t="s">
        <v>290</v>
      </c>
      <c r="I42" s="745"/>
      <c r="J42" s="736" t="s">
        <v>460</v>
      </c>
      <c r="K42" s="745"/>
      <c r="M42" s="39"/>
      <c r="N42" s="39"/>
      <c r="O42" s="39"/>
      <c r="P42" s="553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</row>
    <row r="43" spans="1:60" ht="198.75" customHeight="1">
      <c r="A43" s="697"/>
      <c r="B43" s="7" t="s">
        <v>62</v>
      </c>
      <c r="C43" s="7" t="s">
        <v>63</v>
      </c>
      <c r="D43" s="7" t="s">
        <v>226</v>
      </c>
      <c r="E43" s="7" t="s">
        <v>363</v>
      </c>
      <c r="F43" s="7" t="s">
        <v>226</v>
      </c>
      <c r="G43" s="7" t="s">
        <v>363</v>
      </c>
      <c r="H43" s="7" t="s">
        <v>226</v>
      </c>
      <c r="I43" s="7" t="s">
        <v>363</v>
      </c>
      <c r="J43" s="7" t="s">
        <v>226</v>
      </c>
      <c r="K43" s="7" t="s">
        <v>363</v>
      </c>
      <c r="L43" s="120"/>
      <c r="M43" s="39"/>
      <c r="N43" s="39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</row>
    <row r="44" spans="1:60" ht="18" customHeight="1">
      <c r="A44" s="7">
        <v>1</v>
      </c>
      <c r="B44" s="7">
        <v>2</v>
      </c>
      <c r="C44" s="7">
        <v>3</v>
      </c>
      <c r="D44" s="7">
        <v>4</v>
      </c>
      <c r="E44" s="7">
        <v>5</v>
      </c>
      <c r="F44" s="103">
        <v>6</v>
      </c>
      <c r="G44" s="7">
        <v>7</v>
      </c>
      <c r="H44" s="7">
        <v>8</v>
      </c>
      <c r="I44" s="7">
        <v>9</v>
      </c>
      <c r="J44" s="7">
        <v>10</v>
      </c>
      <c r="K44" s="7">
        <v>11</v>
      </c>
      <c r="L44" s="21"/>
      <c r="M44" s="21"/>
      <c r="N44" s="21"/>
      <c r="O44" s="21"/>
      <c r="P44" s="54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</row>
    <row r="45" spans="1:60" ht="37.5">
      <c r="A45" s="130" t="s">
        <v>430</v>
      </c>
      <c r="B45" s="195">
        <f>D45/$D$62*100</f>
        <v>45.118825248284658</v>
      </c>
      <c r="C45" s="195">
        <f>J45/J62*100</f>
        <v>91.66157757096731</v>
      </c>
      <c r="D45" s="103">
        <f>'1.Фінансовий результат'!C13</f>
        <v>12198.1</v>
      </c>
      <c r="E45" s="473">
        <v>55102</v>
      </c>
      <c r="F45" s="244">
        <f>'1.Фінансовий результат'!D13</f>
        <v>36228.1</v>
      </c>
      <c r="G45" s="471">
        <v>54398</v>
      </c>
      <c r="H45" s="7">
        <v>20903.099999999999</v>
      </c>
      <c r="I45" s="7">
        <v>43318</v>
      </c>
      <c r="J45" s="103">
        <f>'1.Фінансовий результат'!F13</f>
        <v>31369.8</v>
      </c>
      <c r="K45" s="588">
        <v>52594</v>
      </c>
      <c r="L45" s="21"/>
      <c r="M45" s="21"/>
      <c r="N45" s="21"/>
      <c r="O45" s="21"/>
      <c r="P45" s="54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</row>
    <row r="46" spans="1:60" ht="37.5">
      <c r="A46" s="130" t="s">
        <v>364</v>
      </c>
      <c r="B46" s="195"/>
      <c r="C46" s="195"/>
      <c r="D46" s="103">
        <f>'1.Фінансовий результат'!C24</f>
        <v>6006.7</v>
      </c>
      <c r="E46" s="621">
        <v>55102</v>
      </c>
      <c r="F46" s="244"/>
      <c r="G46" s="471"/>
      <c r="H46" s="7"/>
      <c r="I46" s="7"/>
      <c r="J46" s="103"/>
      <c r="K46" s="588"/>
      <c r="L46" s="121"/>
      <c r="M46" s="21"/>
      <c r="N46" s="21"/>
      <c r="O46" s="122"/>
      <c r="P46" s="122"/>
      <c r="Q46" s="123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</row>
    <row r="47" spans="1:60" ht="27" customHeight="1">
      <c r="A47" s="239" t="s">
        <v>319</v>
      </c>
      <c r="B47" s="195">
        <f t="shared" ref="B47:B61" si="7">D47/$D$62*100</f>
        <v>2.5211296258622919</v>
      </c>
      <c r="C47" s="195">
        <f>J47/J62*100</f>
        <v>0</v>
      </c>
      <c r="D47" s="103">
        <f>'1.Фінансовий результат'!C30</f>
        <v>681.6</v>
      </c>
      <c r="E47" s="64">
        <v>2440</v>
      </c>
      <c r="F47" s="244"/>
      <c r="G47" s="479"/>
      <c r="H47" s="12">
        <v>0.2</v>
      </c>
      <c r="I47" s="64">
        <v>1</v>
      </c>
      <c r="J47" s="103"/>
      <c r="K47" s="64"/>
      <c r="M47" s="111"/>
      <c r="N47" s="110"/>
      <c r="O47" s="74"/>
      <c r="P47" s="549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</row>
    <row r="48" spans="1:60" ht="101.25" customHeight="1">
      <c r="A48" s="130" t="s">
        <v>429</v>
      </c>
      <c r="B48" s="195">
        <f t="shared" si="7"/>
        <v>6.354237946403801</v>
      </c>
      <c r="C48" s="195">
        <f>J48/J62*100</f>
        <v>0</v>
      </c>
      <c r="D48" s="103">
        <f>'1.Фінансовий результат'!C25</f>
        <v>1717.9</v>
      </c>
      <c r="E48" s="296">
        <v>377</v>
      </c>
      <c r="F48" s="244"/>
      <c r="G48" s="471"/>
      <c r="H48" s="7"/>
      <c r="I48" s="7"/>
      <c r="J48" s="103"/>
      <c r="K48" s="7"/>
      <c r="L48" s="121"/>
      <c r="M48" s="21"/>
      <c r="N48" s="21"/>
      <c r="O48" s="122"/>
      <c r="P48" s="122"/>
      <c r="Q48" s="123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</row>
    <row r="49" spans="1:60" ht="76.5" customHeight="1">
      <c r="A49" s="130" t="s">
        <v>428</v>
      </c>
      <c r="B49" s="195">
        <f t="shared" si="7"/>
        <v>2.9420576649220465</v>
      </c>
      <c r="C49" s="195">
        <f>J50/J62*100</f>
        <v>1.8019781728928954</v>
      </c>
      <c r="D49" s="103">
        <f>'1.Фінансовий результат'!C26</f>
        <v>795.4</v>
      </c>
      <c r="E49" s="304">
        <v>6842</v>
      </c>
      <c r="F49" s="244"/>
      <c r="G49" s="471"/>
      <c r="H49" s="7"/>
      <c r="I49" s="7"/>
      <c r="J49" s="240"/>
      <c r="K49" s="16"/>
      <c r="L49" s="121"/>
      <c r="M49" s="21"/>
      <c r="N49" s="21"/>
      <c r="O49" s="122"/>
      <c r="P49" s="122"/>
      <c r="Q49" s="123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</row>
    <row r="50" spans="1:60" ht="56.25">
      <c r="A50" s="130" t="s">
        <v>427</v>
      </c>
      <c r="B50" s="195">
        <f t="shared" si="7"/>
        <v>2.4079451092082627</v>
      </c>
      <c r="C50" s="195" t="e">
        <f>J51/J63*100</f>
        <v>#DIV/0!</v>
      </c>
      <c r="D50" s="244">
        <f>'1.Фінансовий результат'!C15</f>
        <v>651</v>
      </c>
      <c r="E50" s="477">
        <v>55102</v>
      </c>
      <c r="F50" s="244">
        <f>'1.Фінансовий результат'!D15</f>
        <v>1102.8</v>
      </c>
      <c r="G50" s="471">
        <v>54398</v>
      </c>
      <c r="H50" s="7">
        <v>342.9</v>
      </c>
      <c r="I50" s="7">
        <v>43318</v>
      </c>
      <c r="J50" s="103">
        <f>'1.Фінансовий результат'!F15</f>
        <v>616.70000000000005</v>
      </c>
      <c r="K50" s="588">
        <v>52594</v>
      </c>
      <c r="M50" s="21"/>
      <c r="N50" s="21"/>
      <c r="O50" s="124"/>
      <c r="P50" s="124"/>
      <c r="Q50" s="125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</row>
    <row r="51" spans="1:60" ht="42.75" customHeight="1">
      <c r="A51" s="130" t="s">
        <v>365</v>
      </c>
      <c r="B51" s="195">
        <f>D51/$D$62*100</f>
        <v>2.3883412550165519</v>
      </c>
      <c r="C51" s="195" t="e">
        <f>J51/J61*100</f>
        <v>#DIV/0!</v>
      </c>
      <c r="D51" s="244">
        <f>SUM(D52:D58)</f>
        <v>645.70000000000005</v>
      </c>
      <c r="E51" s="554"/>
      <c r="F51" s="244">
        <f>SUM(F52:F58)</f>
        <v>832.4</v>
      </c>
      <c r="G51" s="244"/>
      <c r="H51" s="244">
        <f t="shared" ref="H51" si="8">SUM(H52:H58)</f>
        <v>981.7</v>
      </c>
      <c r="I51" s="244"/>
      <c r="J51" s="103">
        <f>SUM(J52:J58)</f>
        <v>1123.5999999999999</v>
      </c>
      <c r="K51" s="7"/>
      <c r="L51" s="125"/>
      <c r="M51" s="21"/>
      <c r="N51" s="21"/>
      <c r="O51" s="124"/>
      <c r="P51" s="124"/>
      <c r="Q51" s="125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</row>
    <row r="52" spans="1:60" s="177" customFormat="1" ht="56.25">
      <c r="A52" s="220" t="s">
        <v>366</v>
      </c>
      <c r="B52" s="219">
        <f t="shared" si="7"/>
        <v>0</v>
      </c>
      <c r="C52" s="219">
        <f>J52/J62*100</f>
        <v>0</v>
      </c>
      <c r="D52" s="131"/>
      <c r="E52" s="144"/>
      <c r="F52" s="230"/>
      <c r="G52" s="355"/>
      <c r="H52" s="144"/>
      <c r="I52" s="144"/>
      <c r="J52" s="131"/>
      <c r="K52" s="144"/>
      <c r="L52" s="221"/>
      <c r="M52" s="222"/>
      <c r="N52" s="222"/>
      <c r="O52" s="223"/>
      <c r="P52" s="223"/>
      <c r="Q52" s="221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</row>
    <row r="53" spans="1:60" s="177" customFormat="1" ht="56.25">
      <c r="A53" s="220" t="s">
        <v>367</v>
      </c>
      <c r="B53" s="219">
        <f t="shared" si="7"/>
        <v>0</v>
      </c>
      <c r="C53" s="219">
        <f>J53/J62*100</f>
        <v>0</v>
      </c>
      <c r="D53" s="131"/>
      <c r="E53" s="144"/>
      <c r="F53" s="230"/>
      <c r="G53" s="355"/>
      <c r="H53" s="144"/>
      <c r="I53" s="144"/>
      <c r="J53" s="131"/>
      <c r="K53" s="144"/>
      <c r="L53" s="221"/>
      <c r="M53" s="222"/>
      <c r="N53" s="222"/>
      <c r="O53" s="223"/>
      <c r="P53" s="223"/>
      <c r="Q53" s="221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</row>
    <row r="54" spans="1:60" s="177" customFormat="1" ht="74.25" customHeight="1">
      <c r="A54" s="220" t="s">
        <v>425</v>
      </c>
      <c r="B54" s="219">
        <f t="shared" si="7"/>
        <v>0</v>
      </c>
      <c r="C54" s="219">
        <f>J54/J62*100</f>
        <v>7.3049220564816567E-2</v>
      </c>
      <c r="D54" s="230"/>
      <c r="E54" s="355"/>
      <c r="F54" s="230">
        <f>'1.Фінансовий результат'!D19</f>
        <v>37.5</v>
      </c>
      <c r="G54" s="355">
        <v>1</v>
      </c>
      <c r="H54" s="144"/>
      <c r="I54" s="144"/>
      <c r="J54" s="131">
        <f>'1.Фінансовий результат'!F19</f>
        <v>25</v>
      </c>
      <c r="K54" s="144">
        <v>1</v>
      </c>
      <c r="L54" s="221"/>
      <c r="M54" s="222"/>
      <c r="N54" s="222"/>
      <c r="O54" s="223"/>
      <c r="P54" s="223"/>
      <c r="Q54" s="221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</row>
    <row r="55" spans="1:60" s="177" customFormat="1">
      <c r="A55" s="220" t="s">
        <v>368</v>
      </c>
      <c r="B55" s="219">
        <f t="shared" si="7"/>
        <v>0</v>
      </c>
      <c r="C55" s="219">
        <f>J55/J62*100</f>
        <v>0</v>
      </c>
      <c r="D55" s="131"/>
      <c r="E55" s="144"/>
      <c r="F55" s="230"/>
      <c r="G55" s="355"/>
      <c r="H55" s="144"/>
      <c r="I55" s="144"/>
      <c r="J55" s="131"/>
      <c r="K55" s="144"/>
      <c r="L55" s="221"/>
      <c r="M55" s="222"/>
      <c r="N55" s="222"/>
      <c r="O55" s="223"/>
      <c r="P55" s="223"/>
      <c r="Q55" s="221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</row>
    <row r="56" spans="1:60" s="177" customFormat="1" ht="56.25">
      <c r="A56" s="220" t="s">
        <v>399</v>
      </c>
      <c r="B56" s="219">
        <f t="shared" si="7"/>
        <v>2.3883412550165519</v>
      </c>
      <c r="C56" s="219">
        <f>J56/J62*100</f>
        <v>3.2100749485002993</v>
      </c>
      <c r="D56" s="230">
        <f>'1.Фінансовий результат'!C21</f>
        <v>645.70000000000005</v>
      </c>
      <c r="E56" s="355">
        <v>67</v>
      </c>
      <c r="F56" s="230">
        <f>'1.Фінансовий результат'!D21</f>
        <v>794.9</v>
      </c>
      <c r="G56" s="355">
        <v>80</v>
      </c>
      <c r="H56" s="144">
        <v>981.7</v>
      </c>
      <c r="I56" s="144">
        <v>95</v>
      </c>
      <c r="J56" s="131">
        <f>'1.Фінансовий результат'!F21</f>
        <v>1098.5999999999999</v>
      </c>
      <c r="K56" s="144">
        <v>75</v>
      </c>
      <c r="L56" s="221"/>
      <c r="M56" s="222"/>
      <c r="N56" s="222"/>
      <c r="O56" s="223"/>
      <c r="P56" s="223"/>
      <c r="Q56" s="221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49"/>
      <c r="BG56" s="249"/>
      <c r="BH56" s="249"/>
    </row>
    <row r="57" spans="1:60" s="177" customFormat="1" ht="37.5">
      <c r="A57" s="220" t="s">
        <v>370</v>
      </c>
      <c r="B57" s="219">
        <f t="shared" si="7"/>
        <v>0</v>
      </c>
      <c r="C57" s="219">
        <f>J57/J62*100</f>
        <v>0</v>
      </c>
      <c r="D57" s="131"/>
      <c r="E57" s="144"/>
      <c r="F57" s="230"/>
      <c r="G57" s="355"/>
      <c r="H57" s="144"/>
      <c r="I57" s="144"/>
      <c r="J57" s="131"/>
      <c r="K57" s="144"/>
      <c r="L57" s="221"/>
      <c r="M57" s="222"/>
      <c r="N57" s="222"/>
      <c r="O57" s="223"/>
      <c r="P57" s="223"/>
      <c r="Q57" s="221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49"/>
      <c r="BB57" s="249"/>
      <c r="BC57" s="249"/>
      <c r="BD57" s="249"/>
      <c r="BE57" s="249"/>
      <c r="BF57" s="249"/>
      <c r="BG57" s="249"/>
      <c r="BH57" s="249"/>
    </row>
    <row r="58" spans="1:60" s="177" customFormat="1" ht="93.75" customHeight="1">
      <c r="A58" s="220" t="s">
        <v>369</v>
      </c>
      <c r="B58" s="219">
        <f t="shared" si="7"/>
        <v>0</v>
      </c>
      <c r="C58" s="219">
        <f>J58/J62*100</f>
        <v>0</v>
      </c>
      <c r="D58" s="131"/>
      <c r="E58" s="144"/>
      <c r="F58" s="230"/>
      <c r="G58" s="355"/>
      <c r="H58" s="144"/>
      <c r="I58" s="144"/>
      <c r="J58" s="131"/>
      <c r="K58" s="144"/>
      <c r="L58" s="221"/>
      <c r="M58" s="222"/>
      <c r="N58" s="222"/>
      <c r="O58" s="223"/>
      <c r="P58" s="223"/>
      <c r="Q58" s="221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</row>
    <row r="59" spans="1:60" ht="60.75" customHeight="1">
      <c r="A59" s="130" t="s">
        <v>426</v>
      </c>
      <c r="B59" s="195">
        <f t="shared" si="7"/>
        <v>11.417950472526861</v>
      </c>
      <c r="C59" s="195">
        <f>J59/J62*100</f>
        <v>3.253320087074671</v>
      </c>
      <c r="D59" s="103">
        <f>'1.Фінансовий результат'!C27</f>
        <v>3086.9</v>
      </c>
      <c r="E59" s="296">
        <v>12</v>
      </c>
      <c r="F59" s="244">
        <f>'1.Фінансовий результат'!D27</f>
        <v>0</v>
      </c>
      <c r="G59" s="471"/>
      <c r="H59" s="7">
        <v>2096.9</v>
      </c>
      <c r="I59" s="7">
        <v>9</v>
      </c>
      <c r="J59" s="103">
        <f>'1.Фінансовий результат'!F27</f>
        <v>1113.4000000000001</v>
      </c>
      <c r="K59" s="7">
        <v>10</v>
      </c>
      <c r="M59" s="21"/>
      <c r="N59" s="21"/>
      <c r="O59" s="124"/>
      <c r="P59" s="124"/>
      <c r="Q59" s="125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</row>
    <row r="60" spans="1:60" ht="56.25">
      <c r="A60" s="130" t="s">
        <v>489</v>
      </c>
      <c r="B60" s="195">
        <f t="shared" si="7"/>
        <v>0</v>
      </c>
      <c r="C60" s="195">
        <f>F60/$F$62*100</f>
        <v>0</v>
      </c>
      <c r="D60" s="103"/>
      <c r="E60" s="7"/>
      <c r="F60" s="244"/>
      <c r="G60" s="471"/>
      <c r="H60" s="7"/>
      <c r="I60" s="7"/>
      <c r="J60" s="103">
        <f>'1.Фінансовий результат'!F28</f>
        <v>0</v>
      </c>
      <c r="K60" s="7">
        <v>1</v>
      </c>
      <c r="M60" s="21"/>
      <c r="N60" s="21"/>
      <c r="O60" s="124"/>
      <c r="P60" s="124"/>
      <c r="Q60" s="125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</row>
    <row r="61" spans="1:60" ht="75">
      <c r="A61" s="130" t="s">
        <v>318</v>
      </c>
      <c r="B61" s="195">
        <f t="shared" si="7"/>
        <v>4.6316879658227146</v>
      </c>
      <c r="C61" s="195">
        <f>F61/$F$62*100</f>
        <v>0</v>
      </c>
      <c r="D61" s="103">
        <f>'1.Фінансовий результат'!C29</f>
        <v>1252.2</v>
      </c>
      <c r="E61" s="7">
        <v>55102</v>
      </c>
      <c r="F61" s="244">
        <f>'1.Фінансовий результат'!D29</f>
        <v>0</v>
      </c>
      <c r="G61" s="471"/>
      <c r="H61" s="7"/>
      <c r="I61" s="7"/>
      <c r="J61" s="103"/>
      <c r="K61" s="7"/>
      <c r="M61" s="21"/>
      <c r="N61" s="21"/>
      <c r="O61" s="21"/>
      <c r="P61" s="54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</row>
    <row r="62" spans="1:60" s="17" customFormat="1">
      <c r="A62" s="10" t="s">
        <v>45</v>
      </c>
      <c r="B62" s="88">
        <f>SUM(B45:B51,B59:B61)</f>
        <v>77.782175288047199</v>
      </c>
      <c r="C62" s="356" t="e">
        <f>SUM(C45:C51,C59:C61)</f>
        <v>#DIV/0!</v>
      </c>
      <c r="D62" s="141">
        <f>SUM(D45:D51,D59:D61)</f>
        <v>27035.500000000004</v>
      </c>
      <c r="E62" s="88"/>
      <c r="F62" s="141">
        <f>SUM(F45:F51,F59:F61)</f>
        <v>38163.300000000003</v>
      </c>
      <c r="G62" s="88"/>
      <c r="H62" s="88">
        <f>SUM(H45:H51,H59:H61)</f>
        <v>24324.800000000003</v>
      </c>
      <c r="I62" s="88"/>
      <c r="J62" s="88">
        <f t="shared" ref="J62" si="9">SUM(J45:J51,J59:J61)</f>
        <v>34223.5</v>
      </c>
      <c r="K62" s="88"/>
      <c r="M62" s="75"/>
      <c r="N62" s="75"/>
      <c r="O62" s="75"/>
      <c r="P62" s="75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</row>
    <row r="63" spans="1:60" ht="20.25" customHeight="1">
      <c r="A63" s="19"/>
      <c r="B63" s="196"/>
      <c r="C63" s="196"/>
      <c r="D63" s="196"/>
      <c r="E63" s="196"/>
      <c r="F63" s="341"/>
      <c r="G63" s="196"/>
      <c r="H63" s="13"/>
      <c r="I63" s="13"/>
      <c r="J63" s="5"/>
      <c r="K63" s="5"/>
      <c r="M63" s="5"/>
      <c r="N63" s="5"/>
      <c r="O63" s="5"/>
      <c r="P63" s="5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</row>
    <row r="64" spans="1:60" ht="21.95" customHeight="1">
      <c r="A64" s="5" t="s">
        <v>245</v>
      </c>
      <c r="B64" s="5"/>
      <c r="C64" s="5"/>
      <c r="D64" s="5"/>
      <c r="E64" s="5"/>
      <c r="F64" s="310"/>
      <c r="G64" s="5"/>
      <c r="H64" s="5"/>
      <c r="I64" s="5"/>
      <c r="J64" s="5"/>
      <c r="K64" s="5"/>
      <c r="M64" s="5"/>
      <c r="N64" s="5"/>
      <c r="O64" s="5"/>
      <c r="P64" s="5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</row>
    <row r="65" spans="1:60" ht="20.100000000000001" customHeight="1">
      <c r="A65" s="193"/>
      <c r="F65" s="241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</row>
    <row r="66" spans="1:60" ht="81.75" customHeight="1">
      <c r="A66" s="7" t="s">
        <v>110</v>
      </c>
      <c r="B66" s="736" t="s">
        <v>60</v>
      </c>
      <c r="C66" s="737"/>
      <c r="D66" s="745"/>
      <c r="E66" s="7" t="s">
        <v>249</v>
      </c>
      <c r="F66" s="103" t="s">
        <v>56</v>
      </c>
      <c r="G66" s="7" t="s">
        <v>227</v>
      </c>
      <c r="H66" s="7" t="s">
        <v>76</v>
      </c>
      <c r="I66" s="736" t="s">
        <v>23</v>
      </c>
      <c r="J66" s="798"/>
      <c r="K66" s="745"/>
      <c r="L66" s="39"/>
      <c r="M66" s="39"/>
      <c r="N66" s="39"/>
      <c r="O66" s="39"/>
      <c r="P66" s="553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</row>
    <row r="67" spans="1:60" ht="18" customHeight="1">
      <c r="A67" s="6">
        <v>1</v>
      </c>
      <c r="B67" s="736">
        <v>2</v>
      </c>
      <c r="C67" s="737"/>
      <c r="D67" s="745"/>
      <c r="E67" s="6">
        <v>3</v>
      </c>
      <c r="F67" s="6">
        <v>4</v>
      </c>
      <c r="G67" s="6">
        <v>5</v>
      </c>
      <c r="H67" s="197">
        <v>6</v>
      </c>
      <c r="I67" s="736">
        <v>7</v>
      </c>
      <c r="J67" s="798"/>
      <c r="K67" s="803"/>
      <c r="L67" s="21"/>
      <c r="M67" s="21"/>
      <c r="N67" s="21"/>
      <c r="O67" s="21"/>
      <c r="P67" s="544"/>
    </row>
    <row r="68" spans="1:60" ht="20.100000000000001" hidden="1" customHeight="1">
      <c r="A68" s="8"/>
      <c r="B68" s="746"/>
      <c r="C68" s="747"/>
      <c r="D68" s="745"/>
      <c r="E68" s="64"/>
      <c r="F68" s="64"/>
      <c r="G68" s="64"/>
      <c r="H68" s="12"/>
      <c r="I68" s="736"/>
      <c r="J68" s="798"/>
      <c r="K68" s="745"/>
      <c r="L68" s="74"/>
      <c r="M68" s="74"/>
      <c r="N68" s="74"/>
      <c r="O68" s="74"/>
      <c r="P68" s="549"/>
    </row>
    <row r="69" spans="1:60" ht="20.100000000000001" hidden="1" customHeight="1">
      <c r="A69" s="8"/>
      <c r="B69" s="746"/>
      <c r="C69" s="747"/>
      <c r="D69" s="745"/>
      <c r="E69" s="198"/>
      <c r="F69" s="64"/>
      <c r="G69" s="198"/>
      <c r="H69" s="199"/>
      <c r="I69" s="736"/>
      <c r="J69" s="798"/>
      <c r="K69" s="745"/>
      <c r="L69" s="74"/>
      <c r="M69" s="74"/>
      <c r="N69" s="74"/>
      <c r="O69" s="74"/>
      <c r="P69" s="549"/>
    </row>
    <row r="70" spans="1:60" ht="20.100000000000001" customHeight="1">
      <c r="A70" s="8"/>
      <c r="B70" s="746"/>
      <c r="C70" s="747"/>
      <c r="D70" s="745"/>
      <c r="E70" s="64"/>
      <c r="F70" s="64"/>
      <c r="G70" s="64"/>
      <c r="H70" s="12"/>
      <c r="I70" s="736"/>
      <c r="J70" s="798"/>
      <c r="K70" s="745"/>
      <c r="L70" s="74"/>
      <c r="M70" s="74"/>
      <c r="N70" s="74"/>
      <c r="O70" s="74"/>
      <c r="P70" s="549"/>
    </row>
    <row r="71" spans="1:60" ht="20.100000000000001" customHeight="1">
      <c r="A71" s="8" t="s">
        <v>45</v>
      </c>
      <c r="B71" s="736" t="s">
        <v>24</v>
      </c>
      <c r="C71" s="737"/>
      <c r="D71" s="745"/>
      <c r="E71" s="7"/>
      <c r="F71" s="7" t="s">
        <v>24</v>
      </c>
      <c r="G71" s="7" t="s">
        <v>24</v>
      </c>
      <c r="H71" s="7"/>
      <c r="I71" s="736" t="s">
        <v>24</v>
      </c>
      <c r="J71" s="798"/>
      <c r="K71" s="745"/>
      <c r="L71" s="74"/>
      <c r="M71" s="74"/>
      <c r="N71" s="74"/>
      <c r="O71" s="74"/>
      <c r="P71" s="549"/>
    </row>
    <row r="72" spans="1:60" ht="20.100000000000001" customHeight="1">
      <c r="A72" s="13"/>
      <c r="B72" s="21"/>
      <c r="C72" s="21"/>
      <c r="D72" s="21"/>
      <c r="E72" s="21"/>
      <c r="F72" s="21"/>
      <c r="G72" s="21"/>
      <c r="H72" s="21"/>
      <c r="I72" s="21"/>
      <c r="J72" s="21"/>
      <c r="K72" s="3"/>
      <c r="L72" s="3"/>
      <c r="M72" s="3"/>
      <c r="N72" s="3"/>
      <c r="O72" s="3"/>
      <c r="P72" s="547"/>
    </row>
    <row r="73" spans="1:60" ht="21.95" customHeight="1">
      <c r="A73" s="5" t="s">
        <v>246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60" ht="9.75" customHeight="1">
      <c r="A74" s="5"/>
      <c r="B74" s="200"/>
      <c r="C74" s="200"/>
      <c r="D74" s="200"/>
      <c r="E74" s="5"/>
      <c r="F74" s="5"/>
      <c r="G74" s="5"/>
      <c r="H74" s="5"/>
      <c r="I74" s="5"/>
    </row>
    <row r="75" spans="1:60" ht="82.5" customHeight="1">
      <c r="A75" s="7" t="s">
        <v>55</v>
      </c>
      <c r="B75" s="736" t="s">
        <v>250</v>
      </c>
      <c r="C75" s="737"/>
      <c r="D75" s="745"/>
      <c r="E75" s="786" t="s">
        <v>237</v>
      </c>
      <c r="F75" s="788"/>
      <c r="G75" s="705" t="s">
        <v>236</v>
      </c>
      <c r="H75" s="705"/>
      <c r="I75" s="786" t="s">
        <v>77</v>
      </c>
      <c r="J75" s="797"/>
      <c r="K75" s="788"/>
      <c r="L75" s="39"/>
      <c r="M75" s="39"/>
      <c r="N75" s="39"/>
      <c r="O75" s="39"/>
      <c r="P75" s="553"/>
    </row>
    <row r="76" spans="1:60" ht="18" customHeight="1">
      <c r="A76" s="7">
        <v>1</v>
      </c>
      <c r="B76" s="736">
        <v>2</v>
      </c>
      <c r="C76" s="737"/>
      <c r="D76" s="798"/>
      <c r="E76" s="736">
        <v>3</v>
      </c>
      <c r="F76" s="745"/>
      <c r="G76" s="736">
        <v>4</v>
      </c>
      <c r="H76" s="738"/>
      <c r="I76" s="736">
        <v>5</v>
      </c>
      <c r="J76" s="802"/>
      <c r="K76" s="803"/>
      <c r="L76" s="21"/>
      <c r="M76" s="21"/>
      <c r="N76" s="21"/>
      <c r="O76" s="21"/>
      <c r="P76" s="544"/>
    </row>
    <row r="77" spans="1:60" ht="20.100000000000001" customHeight="1">
      <c r="A77" s="8" t="s">
        <v>228</v>
      </c>
      <c r="B77" s="748"/>
      <c r="C77" s="749"/>
      <c r="D77" s="750"/>
      <c r="E77" s="201"/>
      <c r="F77" s="198"/>
      <c r="G77" s="202"/>
      <c r="H77" s="198"/>
      <c r="I77" s="128"/>
      <c r="J77" s="129"/>
      <c r="K77" s="203"/>
      <c r="L77" s="74"/>
      <c r="M77" s="74"/>
      <c r="N77" s="74"/>
      <c r="O77" s="74"/>
      <c r="P77" s="549"/>
    </row>
    <row r="78" spans="1:60" ht="20.100000000000001" customHeight="1">
      <c r="A78" s="8" t="s">
        <v>89</v>
      </c>
      <c r="B78" s="748"/>
      <c r="C78" s="749"/>
      <c r="D78" s="750"/>
      <c r="E78" s="201"/>
      <c r="F78" s="198"/>
      <c r="G78" s="202"/>
      <c r="H78" s="198"/>
      <c r="I78" s="128"/>
      <c r="J78" s="129"/>
      <c r="K78" s="203"/>
      <c r="L78" s="74"/>
      <c r="M78" s="74"/>
      <c r="N78" s="74"/>
      <c r="O78" s="74"/>
      <c r="P78" s="549"/>
    </row>
    <row r="79" spans="1:60" ht="20.100000000000001" customHeight="1">
      <c r="A79" s="8"/>
      <c r="B79" s="748"/>
      <c r="C79" s="749"/>
      <c r="D79" s="750"/>
      <c r="E79" s="201"/>
      <c r="F79" s="198"/>
      <c r="G79" s="202"/>
      <c r="H79" s="198"/>
      <c r="I79" s="128"/>
      <c r="J79" s="129"/>
      <c r="K79" s="203"/>
      <c r="L79" s="74"/>
      <c r="M79" s="74"/>
      <c r="N79" s="74"/>
      <c r="O79" s="74"/>
      <c r="P79" s="549"/>
    </row>
    <row r="80" spans="1:60" ht="20.100000000000001" customHeight="1">
      <c r="A80" s="8" t="s">
        <v>229</v>
      </c>
      <c r="B80" s="748"/>
      <c r="C80" s="749"/>
      <c r="D80" s="750"/>
      <c r="E80" s="201"/>
      <c r="F80" s="198"/>
      <c r="G80" s="202"/>
      <c r="H80" s="198"/>
      <c r="I80" s="128"/>
      <c r="J80" s="129"/>
      <c r="K80" s="203"/>
      <c r="L80" s="74"/>
      <c r="M80" s="74"/>
      <c r="N80" s="74"/>
      <c r="O80" s="74"/>
      <c r="P80" s="549"/>
    </row>
    <row r="81" spans="1:32" ht="20.100000000000001" customHeight="1">
      <c r="A81" s="8" t="s">
        <v>90</v>
      </c>
      <c r="B81" s="748"/>
      <c r="C81" s="749"/>
      <c r="D81" s="750"/>
      <c r="E81" s="201"/>
      <c r="F81" s="198"/>
      <c r="G81" s="202"/>
      <c r="H81" s="198"/>
      <c r="I81" s="128"/>
      <c r="J81" s="129"/>
      <c r="K81" s="203"/>
      <c r="L81" s="74"/>
      <c r="M81" s="74"/>
      <c r="N81" s="74"/>
      <c r="O81" s="74"/>
      <c r="P81" s="549"/>
    </row>
    <row r="82" spans="1:32" ht="20.100000000000001" customHeight="1">
      <c r="A82" s="8"/>
      <c r="B82" s="748"/>
      <c r="C82" s="749"/>
      <c r="D82" s="750"/>
      <c r="E82" s="201"/>
      <c r="F82" s="198"/>
      <c r="G82" s="202"/>
      <c r="H82" s="198"/>
      <c r="I82" s="128"/>
      <c r="J82" s="129"/>
      <c r="K82" s="203"/>
      <c r="L82" s="74"/>
      <c r="M82" s="74"/>
      <c r="N82" s="74"/>
      <c r="O82" s="74"/>
      <c r="P82" s="549"/>
    </row>
    <row r="83" spans="1:32" ht="20.100000000000001" customHeight="1">
      <c r="A83" s="8" t="s">
        <v>230</v>
      </c>
      <c r="B83" s="748"/>
      <c r="C83" s="749"/>
      <c r="D83" s="750"/>
      <c r="E83" s="201"/>
      <c r="F83" s="198"/>
      <c r="G83" s="202"/>
      <c r="H83" s="198"/>
      <c r="I83" s="128"/>
      <c r="J83" s="129"/>
      <c r="K83" s="203"/>
      <c r="L83" s="74"/>
      <c r="M83" s="74"/>
      <c r="N83" s="74"/>
      <c r="O83" s="74"/>
      <c r="P83" s="549"/>
    </row>
    <row r="84" spans="1:32" ht="20.100000000000001" customHeight="1">
      <c r="A84" s="8" t="s">
        <v>89</v>
      </c>
      <c r="B84" s="748"/>
      <c r="C84" s="749"/>
      <c r="D84" s="750"/>
      <c r="E84" s="201"/>
      <c r="F84" s="198"/>
      <c r="G84" s="202"/>
      <c r="H84" s="198"/>
      <c r="I84" s="128"/>
      <c r="J84" s="129"/>
      <c r="K84" s="203"/>
      <c r="L84" s="74"/>
      <c r="M84" s="74"/>
      <c r="N84" s="74"/>
      <c r="O84" s="74"/>
      <c r="P84" s="549"/>
    </row>
    <row r="85" spans="1:32" ht="8.25" customHeight="1">
      <c r="A85" s="8"/>
      <c r="B85" s="748"/>
      <c r="C85" s="749"/>
      <c r="D85" s="750"/>
      <c r="E85" s="201"/>
      <c r="F85" s="198"/>
      <c r="G85" s="202"/>
      <c r="H85" s="198"/>
      <c r="I85" s="128"/>
      <c r="J85" s="129"/>
      <c r="K85" s="203"/>
      <c r="L85" s="74"/>
      <c r="M85" s="74"/>
      <c r="N85" s="74"/>
      <c r="O85" s="74"/>
      <c r="P85" s="549"/>
    </row>
    <row r="86" spans="1:32" ht="20.100000000000001" customHeight="1">
      <c r="A86" s="8" t="s">
        <v>45</v>
      </c>
      <c r="B86" s="748"/>
      <c r="C86" s="749"/>
      <c r="D86" s="750"/>
      <c r="E86" s="201"/>
      <c r="F86" s="204"/>
      <c r="G86" s="202"/>
      <c r="H86" s="204"/>
      <c r="I86" s="205"/>
      <c r="J86" s="129"/>
      <c r="K86" s="203"/>
      <c r="L86" s="74"/>
      <c r="M86" s="74"/>
      <c r="N86" s="74"/>
      <c r="O86" s="74"/>
      <c r="P86" s="549"/>
    </row>
    <row r="87" spans="1:32">
      <c r="E87" s="206"/>
      <c r="F87" s="206"/>
      <c r="G87" s="206"/>
    </row>
    <row r="88" spans="1:32" ht="10.5" customHeight="1">
      <c r="E88" s="206"/>
      <c r="F88" s="206"/>
      <c r="G88" s="206"/>
    </row>
    <row r="89" spans="1:32">
      <c r="A89" s="760" t="s">
        <v>268</v>
      </c>
      <c r="B89" s="760"/>
      <c r="C89" s="760"/>
      <c r="D89" s="760"/>
      <c r="E89" s="760"/>
      <c r="F89" s="760"/>
      <c r="G89" s="760"/>
      <c r="H89" s="760"/>
      <c r="I89" s="760"/>
      <c r="J89" s="760"/>
      <c r="K89" s="760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</row>
    <row r="90" spans="1:3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</row>
    <row r="91" spans="1:32" ht="18.75" customHeight="1">
      <c r="A91" s="727" t="s">
        <v>40</v>
      </c>
      <c r="B91" s="811" t="s">
        <v>158</v>
      </c>
      <c r="C91" s="812"/>
      <c r="D91" s="813"/>
      <c r="E91" s="705" t="s">
        <v>159</v>
      </c>
      <c r="F91" s="705" t="s">
        <v>235</v>
      </c>
      <c r="G91" s="705" t="s">
        <v>160</v>
      </c>
      <c r="H91" s="736" t="s">
        <v>251</v>
      </c>
      <c r="I91" s="737"/>
      <c r="J91" s="737"/>
      <c r="K91" s="737"/>
      <c r="L91" s="738"/>
      <c r="M91" s="39"/>
      <c r="N91" s="39"/>
      <c r="O91" s="39"/>
      <c r="P91" s="553"/>
      <c r="Q91" s="39"/>
      <c r="R91" s="21"/>
      <c r="S91" s="21"/>
      <c r="T91" s="21"/>
      <c r="U91" s="21"/>
      <c r="V91" s="367"/>
      <c r="W91" s="367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ht="18.75" customHeight="1">
      <c r="A92" s="806"/>
      <c r="B92" s="817"/>
      <c r="C92" s="818"/>
      <c r="D92" s="819"/>
      <c r="E92" s="706"/>
      <c r="F92" s="706"/>
      <c r="G92" s="706"/>
      <c r="H92" s="127" t="s">
        <v>161</v>
      </c>
      <c r="I92" s="7" t="s">
        <v>162</v>
      </c>
      <c r="J92" s="7" t="s">
        <v>28</v>
      </c>
      <c r="K92" s="7" t="s">
        <v>163</v>
      </c>
      <c r="L92" s="70" t="s">
        <v>164</v>
      </c>
      <c r="M92" s="39"/>
      <c r="N92" s="39"/>
      <c r="O92" s="39"/>
      <c r="P92" s="553"/>
      <c r="Q92" s="39"/>
      <c r="R92" s="39"/>
      <c r="S92" s="39"/>
      <c r="T92" s="39"/>
      <c r="U92" s="39"/>
      <c r="V92" s="371"/>
      <c r="W92" s="371"/>
      <c r="X92" s="39"/>
      <c r="Y92" s="39"/>
      <c r="Z92" s="39"/>
      <c r="AA92" s="39"/>
      <c r="AB92" s="21"/>
      <c r="AC92" s="21"/>
      <c r="AD92" s="21"/>
      <c r="AE92" s="21"/>
      <c r="AF92" s="21"/>
    </row>
    <row r="93" spans="1:32">
      <c r="A93" s="207">
        <v>1</v>
      </c>
      <c r="B93" s="754">
        <v>2</v>
      </c>
      <c r="C93" s="755"/>
      <c r="D93" s="756"/>
      <c r="E93" s="66">
        <v>3</v>
      </c>
      <c r="F93" s="66">
        <v>4</v>
      </c>
      <c r="G93" s="208">
        <v>5</v>
      </c>
      <c r="H93" s="66">
        <v>6</v>
      </c>
      <c r="I93" s="66">
        <v>7</v>
      </c>
      <c r="J93" s="66">
        <v>8</v>
      </c>
      <c r="K93" s="66">
        <v>9</v>
      </c>
      <c r="L93" s="69">
        <v>10</v>
      </c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53"/>
      <c r="AA93" s="53"/>
      <c r="AB93" s="53"/>
      <c r="AC93" s="53"/>
      <c r="AD93" s="53"/>
      <c r="AE93" s="53"/>
      <c r="AF93" s="53"/>
    </row>
    <row r="94" spans="1:32">
      <c r="A94" s="207"/>
      <c r="B94" s="754"/>
      <c r="C94" s="755"/>
      <c r="D94" s="756"/>
      <c r="E94" s="66"/>
      <c r="F94" s="66"/>
      <c r="G94" s="209">
        <f>SUM(H94:L94)</f>
        <v>0</v>
      </c>
      <c r="H94" s="72"/>
      <c r="I94" s="72"/>
      <c r="J94" s="72"/>
      <c r="K94" s="72"/>
      <c r="L94" s="71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</row>
    <row r="95" spans="1:32" hidden="1">
      <c r="A95" s="207"/>
      <c r="B95" s="754"/>
      <c r="C95" s="755"/>
      <c r="D95" s="756"/>
      <c r="E95" s="66"/>
      <c r="F95" s="66"/>
      <c r="G95" s="209">
        <f>SUM(H95:L95)</f>
        <v>0</v>
      </c>
      <c r="H95" s="72"/>
      <c r="I95" s="72"/>
      <c r="J95" s="72"/>
      <c r="K95" s="72"/>
      <c r="L95" s="71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</row>
    <row r="96" spans="1:32" hidden="1">
      <c r="A96" s="207"/>
      <c r="B96" s="754"/>
      <c r="C96" s="755"/>
      <c r="D96" s="756"/>
      <c r="E96" s="66"/>
      <c r="F96" s="66"/>
      <c r="G96" s="209">
        <f>SUM(H96:L96)</f>
        <v>0</v>
      </c>
      <c r="H96" s="72"/>
      <c r="I96" s="72"/>
      <c r="J96" s="72"/>
      <c r="K96" s="72"/>
      <c r="L96" s="71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</row>
    <row r="97" spans="1:36" hidden="1">
      <c r="A97" s="207"/>
      <c r="B97" s="754"/>
      <c r="C97" s="755"/>
      <c r="D97" s="756"/>
      <c r="E97" s="66"/>
      <c r="F97" s="66"/>
      <c r="G97" s="209">
        <f>SUM(H97:L97)</f>
        <v>0</v>
      </c>
      <c r="H97" s="72"/>
      <c r="I97" s="72"/>
      <c r="J97" s="72"/>
      <c r="K97" s="72"/>
      <c r="L97" s="71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</row>
    <row r="98" spans="1:36">
      <c r="A98" s="73" t="s">
        <v>45</v>
      </c>
      <c r="B98" s="809"/>
      <c r="C98" s="810"/>
      <c r="D98" s="756"/>
      <c r="E98" s="15"/>
      <c r="F98" s="210"/>
      <c r="G98" s="211">
        <f>G94+G95+G96+G97</f>
        <v>0</v>
      </c>
      <c r="H98" s="15"/>
      <c r="I98" s="15"/>
      <c r="J98" s="15"/>
      <c r="K98" s="15"/>
      <c r="L98" s="67"/>
      <c r="M98" s="74"/>
      <c r="N98" s="74"/>
      <c r="O98" s="74"/>
      <c r="P98" s="549"/>
      <c r="Q98" s="74"/>
      <c r="R98" s="74"/>
      <c r="S98" s="74"/>
      <c r="T98" s="74"/>
      <c r="U98" s="74"/>
      <c r="V98" s="372"/>
      <c r="W98" s="372"/>
      <c r="X98" s="74"/>
      <c r="Y98" s="74"/>
      <c r="Z98" s="74"/>
      <c r="AA98" s="74"/>
      <c r="AB98" s="74"/>
      <c r="AC98" s="74"/>
      <c r="AD98" s="74"/>
      <c r="AE98" s="74"/>
      <c r="AF98" s="74"/>
    </row>
    <row r="99" spans="1:36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7"/>
      <c r="N99" s="27"/>
      <c r="O99" s="27"/>
      <c r="P99" s="27"/>
      <c r="Q99" s="27"/>
      <c r="R99" s="41"/>
      <c r="S99" s="41"/>
      <c r="T99" s="41"/>
      <c r="U99" s="41"/>
      <c r="V99" s="41"/>
      <c r="W99" s="41"/>
      <c r="X99" s="41"/>
      <c r="Y99" s="41"/>
      <c r="Z99" s="42"/>
      <c r="AA99" s="42"/>
      <c r="AB99" s="42"/>
      <c r="AC99" s="42"/>
      <c r="AD99" s="42"/>
      <c r="AE99" s="42"/>
      <c r="AF99" s="42"/>
    </row>
    <row r="100" spans="1:36">
      <c r="A100" s="760" t="s">
        <v>269</v>
      </c>
      <c r="B100" s="760"/>
      <c r="C100" s="760"/>
      <c r="D100" s="760"/>
      <c r="E100" s="760"/>
      <c r="F100" s="760"/>
      <c r="G100" s="760"/>
      <c r="H100" s="760"/>
      <c r="I100" s="760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</row>
    <row r="101" spans="1:36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</row>
    <row r="102" spans="1:36" ht="18.75" customHeight="1">
      <c r="A102" s="727" t="s">
        <v>40</v>
      </c>
      <c r="B102" s="811" t="s">
        <v>165</v>
      </c>
      <c r="C102" s="812"/>
      <c r="D102" s="813"/>
      <c r="E102" s="705" t="s">
        <v>158</v>
      </c>
      <c r="F102" s="705" t="s">
        <v>235</v>
      </c>
      <c r="G102" s="705" t="s">
        <v>166</v>
      </c>
      <c r="H102" s="736" t="s">
        <v>167</v>
      </c>
      <c r="I102" s="737"/>
      <c r="J102" s="737"/>
      <c r="K102" s="737"/>
      <c r="L102" s="738"/>
      <c r="M102" s="39"/>
      <c r="N102" s="39"/>
      <c r="O102" s="39"/>
      <c r="P102" s="553"/>
      <c r="Q102" s="39"/>
      <c r="R102" s="39"/>
      <c r="S102" s="39"/>
      <c r="T102" s="39"/>
      <c r="U102" s="39"/>
      <c r="V102" s="371"/>
      <c r="W102" s="371"/>
      <c r="X102" s="39"/>
      <c r="Y102" s="21"/>
      <c r="Z102" s="21"/>
      <c r="AA102" s="21"/>
      <c r="AB102" s="21"/>
      <c r="AC102" s="21"/>
      <c r="AD102" s="21"/>
      <c r="AE102" s="21"/>
      <c r="AF102" s="21"/>
      <c r="AJ102" s="2" t="s">
        <v>333</v>
      </c>
    </row>
    <row r="103" spans="1:36" ht="18.75" customHeight="1">
      <c r="A103" s="807"/>
      <c r="B103" s="814"/>
      <c r="C103" s="815"/>
      <c r="D103" s="816"/>
      <c r="E103" s="808"/>
      <c r="F103" s="808"/>
      <c r="G103" s="808"/>
      <c r="H103" s="705" t="s">
        <v>168</v>
      </c>
      <c r="I103" s="736" t="s">
        <v>85</v>
      </c>
      <c r="J103" s="737"/>
      <c r="K103" s="737"/>
      <c r="L103" s="738"/>
      <c r="M103" s="39"/>
      <c r="N103" s="39"/>
      <c r="O103" s="39"/>
      <c r="P103" s="553"/>
      <c r="Q103" s="39"/>
      <c r="R103" s="39"/>
      <c r="S103" s="39"/>
      <c r="T103" s="39"/>
      <c r="U103" s="39"/>
      <c r="V103" s="371"/>
      <c r="W103" s="371"/>
      <c r="X103" s="39"/>
      <c r="Y103" s="21"/>
      <c r="Z103" s="21"/>
      <c r="AA103" s="21"/>
      <c r="AB103" s="21"/>
      <c r="AC103" s="21"/>
      <c r="AD103" s="21"/>
      <c r="AE103" s="21"/>
      <c r="AF103" s="21"/>
    </row>
    <row r="104" spans="1:36">
      <c r="A104" s="806"/>
      <c r="B104" s="817"/>
      <c r="C104" s="818"/>
      <c r="D104" s="819"/>
      <c r="E104" s="706"/>
      <c r="F104" s="706"/>
      <c r="G104" s="706"/>
      <c r="H104" s="706"/>
      <c r="I104" s="7" t="s">
        <v>252</v>
      </c>
      <c r="J104" s="7" t="s">
        <v>253</v>
      </c>
      <c r="K104" s="7" t="s">
        <v>254</v>
      </c>
      <c r="L104" s="7" t="s">
        <v>255</v>
      </c>
      <c r="M104" s="39"/>
      <c r="N104" s="39"/>
      <c r="O104" s="39"/>
      <c r="P104" s="553"/>
      <c r="Q104" s="39"/>
      <c r="R104" s="39"/>
      <c r="S104" s="39"/>
      <c r="T104" s="39"/>
      <c r="U104" s="39"/>
      <c r="V104" s="371"/>
      <c r="W104" s="371"/>
      <c r="X104" s="39"/>
      <c r="Y104" s="21"/>
      <c r="Z104" s="21"/>
      <c r="AA104" s="21"/>
      <c r="AB104" s="21"/>
      <c r="AC104" s="21"/>
      <c r="AD104" s="21"/>
      <c r="AE104" s="21"/>
      <c r="AF104" s="21"/>
    </row>
    <row r="105" spans="1:36">
      <c r="A105" s="207">
        <v>1</v>
      </c>
      <c r="B105" s="754">
        <v>2</v>
      </c>
      <c r="C105" s="755"/>
      <c r="D105" s="756"/>
      <c r="E105" s="66">
        <v>3</v>
      </c>
      <c r="F105" s="66">
        <v>4</v>
      </c>
      <c r="G105" s="66">
        <v>5</v>
      </c>
      <c r="H105" s="66">
        <v>6</v>
      </c>
      <c r="I105" s="66">
        <v>7</v>
      </c>
      <c r="J105" s="66">
        <v>8</v>
      </c>
      <c r="K105" s="66">
        <v>9</v>
      </c>
      <c r="L105" s="66">
        <v>10</v>
      </c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53"/>
      <c r="AB105" s="53"/>
      <c r="AC105" s="53"/>
      <c r="AD105" s="53"/>
      <c r="AE105" s="53"/>
      <c r="AF105" s="53"/>
    </row>
    <row r="106" spans="1:36">
      <c r="A106" s="212"/>
      <c r="B106" s="757"/>
      <c r="C106" s="758"/>
      <c r="D106" s="759"/>
      <c r="E106" s="213"/>
      <c r="F106" s="213"/>
      <c r="G106" s="213"/>
      <c r="H106" s="214">
        <f>SUM(I106:L106)</f>
        <v>0</v>
      </c>
      <c r="I106" s="72"/>
      <c r="J106" s="72"/>
      <c r="K106" s="72"/>
      <c r="L106" s="72"/>
      <c r="M106" s="78"/>
      <c r="N106" s="78"/>
      <c r="O106" s="78"/>
      <c r="P106" s="78"/>
      <c r="Q106" s="78"/>
      <c r="R106" s="79"/>
      <c r="S106" s="79"/>
      <c r="T106" s="79"/>
      <c r="U106" s="79"/>
      <c r="V106" s="79"/>
      <c r="W106" s="79"/>
      <c r="X106" s="79"/>
      <c r="Y106" s="77"/>
      <c r="Z106" s="77"/>
      <c r="AA106" s="77"/>
      <c r="AB106" s="77"/>
      <c r="AC106" s="77"/>
      <c r="AD106" s="77"/>
      <c r="AE106" s="77"/>
      <c r="AF106" s="77"/>
    </row>
    <row r="107" spans="1:36" hidden="1">
      <c r="A107" s="212"/>
      <c r="B107" s="757"/>
      <c r="C107" s="758"/>
      <c r="D107" s="759"/>
      <c r="E107" s="213"/>
      <c r="F107" s="213"/>
      <c r="G107" s="213"/>
      <c r="H107" s="214">
        <f>SUM(I107:L107)</f>
        <v>0</v>
      </c>
      <c r="I107" s="72"/>
      <c r="J107" s="72"/>
      <c r="K107" s="72"/>
      <c r="L107" s="72"/>
      <c r="M107" s="78"/>
      <c r="N107" s="78"/>
      <c r="O107" s="78"/>
      <c r="P107" s="78"/>
      <c r="Q107" s="78"/>
      <c r="R107" s="79"/>
      <c r="S107" s="79"/>
      <c r="T107" s="79"/>
      <c r="U107" s="79"/>
      <c r="V107" s="79"/>
      <c r="W107" s="79"/>
      <c r="X107" s="79"/>
      <c r="Y107" s="77"/>
      <c r="Z107" s="77"/>
      <c r="AA107" s="77"/>
      <c r="AB107" s="77"/>
      <c r="AC107" s="77"/>
      <c r="AD107" s="77"/>
      <c r="AE107" s="77"/>
      <c r="AF107" s="77"/>
    </row>
    <row r="108" spans="1:36" hidden="1">
      <c r="A108" s="212"/>
      <c r="B108" s="757"/>
      <c r="C108" s="758"/>
      <c r="D108" s="759"/>
      <c r="E108" s="213"/>
      <c r="F108" s="213"/>
      <c r="G108" s="213"/>
      <c r="H108" s="214">
        <f>SUM(I108:L108)</f>
        <v>0</v>
      </c>
      <c r="I108" s="72"/>
      <c r="J108" s="72"/>
      <c r="K108" s="72"/>
      <c r="L108" s="72"/>
      <c r="M108" s="78"/>
      <c r="N108" s="78"/>
      <c r="O108" s="78"/>
      <c r="P108" s="78"/>
      <c r="Q108" s="78"/>
      <c r="R108" s="79"/>
      <c r="S108" s="79"/>
      <c r="T108" s="79"/>
      <c r="U108" s="79"/>
      <c r="V108" s="79"/>
      <c r="W108" s="79"/>
      <c r="X108" s="79"/>
      <c r="Y108" s="77"/>
      <c r="Z108" s="77"/>
      <c r="AA108" s="77"/>
      <c r="AB108" s="77"/>
      <c r="AC108" s="77"/>
      <c r="AD108" s="77"/>
      <c r="AE108" s="77"/>
      <c r="AF108" s="77"/>
    </row>
    <row r="109" spans="1:36" hidden="1">
      <c r="A109" s="212"/>
      <c r="B109" s="757"/>
      <c r="C109" s="758"/>
      <c r="D109" s="759"/>
      <c r="E109" s="213"/>
      <c r="F109" s="213"/>
      <c r="G109" s="213"/>
      <c r="H109" s="214">
        <f>SUM(I109:L109)</f>
        <v>0</v>
      </c>
      <c r="I109" s="72"/>
      <c r="J109" s="72"/>
      <c r="K109" s="72"/>
      <c r="L109" s="72"/>
      <c r="M109" s="78"/>
      <c r="N109" s="78"/>
      <c r="O109" s="78"/>
      <c r="P109" s="78"/>
      <c r="Q109" s="78"/>
      <c r="R109" s="79"/>
      <c r="S109" s="79"/>
      <c r="T109" s="79"/>
      <c r="U109" s="79"/>
      <c r="V109" s="79"/>
      <c r="W109" s="79"/>
      <c r="X109" s="79"/>
      <c r="Y109" s="77"/>
      <c r="Z109" s="77"/>
      <c r="AA109" s="77"/>
      <c r="AB109" s="77"/>
      <c r="AC109" s="77"/>
      <c r="AD109" s="77"/>
      <c r="AE109" s="77"/>
      <c r="AF109" s="77"/>
    </row>
    <row r="110" spans="1:36">
      <c r="A110" s="73" t="s">
        <v>45</v>
      </c>
      <c r="B110" s="762"/>
      <c r="C110" s="763"/>
      <c r="D110" s="759"/>
      <c r="E110" s="73"/>
      <c r="F110" s="73"/>
      <c r="G110" s="73"/>
      <c r="H110" s="215">
        <f>H106+H107+H108+H109</f>
        <v>0</v>
      </c>
      <c r="I110" s="73"/>
      <c r="J110" s="73"/>
      <c r="K110" s="73"/>
      <c r="L110" s="73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74"/>
      <c r="Z110" s="74"/>
      <c r="AA110" s="74"/>
      <c r="AB110" s="74"/>
      <c r="AC110" s="74"/>
      <c r="AD110" s="74"/>
      <c r="AE110" s="74"/>
      <c r="AF110" s="74"/>
    </row>
    <row r="111" spans="1:36" ht="17.2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544"/>
      <c r="R111" s="24"/>
      <c r="S111" s="24"/>
      <c r="T111" s="24"/>
      <c r="U111" s="24"/>
      <c r="V111" s="24"/>
      <c r="W111" s="24"/>
      <c r="X111" s="24"/>
      <c r="AF111" s="24"/>
    </row>
    <row r="112" spans="1:36" ht="28.5" hidden="1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544"/>
      <c r="R112" s="24"/>
      <c r="S112" s="24"/>
      <c r="T112" s="24"/>
      <c r="U112" s="24"/>
      <c r="V112" s="24"/>
      <c r="W112" s="24"/>
      <c r="X112" s="24"/>
      <c r="AF112" s="24"/>
    </row>
    <row r="113" spans="1:32" s="225" customFormat="1">
      <c r="A113" s="760" t="s">
        <v>247</v>
      </c>
      <c r="B113" s="760"/>
      <c r="C113" s="760"/>
      <c r="D113" s="760"/>
      <c r="E113" s="760"/>
      <c r="F113" s="760"/>
      <c r="G113" s="760"/>
      <c r="H113" s="231"/>
      <c r="I113" s="231"/>
      <c r="J113" s="231"/>
      <c r="K113" s="231"/>
      <c r="L113" s="231"/>
      <c r="M113" s="231"/>
      <c r="N113" s="231"/>
      <c r="O113" s="231"/>
      <c r="P113" s="550"/>
      <c r="Q113" s="231"/>
      <c r="R113" s="231"/>
      <c r="S113" s="231"/>
      <c r="T113" s="231"/>
      <c r="U113" s="231"/>
      <c r="V113" s="373"/>
      <c r="W113" s="373"/>
      <c r="X113" s="231"/>
      <c r="Y113" s="231"/>
      <c r="Z113" s="231"/>
      <c r="AA113" s="231"/>
      <c r="AB113" s="231"/>
      <c r="AC113" s="231"/>
      <c r="AD113" s="231"/>
      <c r="AE113" s="231"/>
      <c r="AF113" s="231"/>
    </row>
    <row r="114" spans="1:32">
      <c r="A114" s="22"/>
      <c r="B114" s="22"/>
      <c r="C114" s="22"/>
      <c r="D114" s="22"/>
      <c r="E114" s="22"/>
      <c r="F114" s="22"/>
      <c r="G114" s="22"/>
      <c r="H114" s="22"/>
      <c r="I114" s="29"/>
      <c r="J114" s="29"/>
      <c r="K114" s="29"/>
      <c r="L114" s="29"/>
      <c r="M114" s="29"/>
      <c r="N114" s="29"/>
      <c r="O114" s="29"/>
      <c r="P114" s="478"/>
      <c r="Q114" s="29"/>
      <c r="R114" s="29"/>
      <c r="S114" s="29"/>
      <c r="T114" s="29"/>
      <c r="U114" s="29"/>
      <c r="V114" s="29"/>
      <c r="W114" s="29"/>
      <c r="X114" s="29"/>
      <c r="Y114" s="22"/>
      <c r="Z114" s="823" t="s">
        <v>184</v>
      </c>
      <c r="AA114" s="823"/>
      <c r="AB114" s="823"/>
      <c r="AC114" s="823"/>
      <c r="AD114" s="823"/>
      <c r="AE114" s="823"/>
      <c r="AF114" s="823"/>
    </row>
    <row r="115" spans="1:32" ht="18.75" customHeight="1">
      <c r="A115" s="804" t="s">
        <v>40</v>
      </c>
      <c r="B115" s="764" t="s">
        <v>185</v>
      </c>
      <c r="C115" s="765"/>
      <c r="D115" s="766"/>
      <c r="E115" s="736" t="s">
        <v>44</v>
      </c>
      <c r="F115" s="737"/>
      <c r="G115" s="737"/>
      <c r="H115" s="737"/>
      <c r="I115" s="738"/>
      <c r="J115" s="831" t="s">
        <v>378</v>
      </c>
      <c r="K115" s="832"/>
      <c r="L115" s="832"/>
      <c r="M115" s="832"/>
      <c r="N115" s="833"/>
      <c r="O115" s="820" t="s">
        <v>210</v>
      </c>
      <c r="P115" s="821"/>
      <c r="Q115" s="821"/>
      <c r="R115" s="821"/>
      <c r="S115" s="821"/>
      <c r="T115" s="822"/>
      <c r="U115" s="799" t="s">
        <v>111</v>
      </c>
      <c r="V115" s="800"/>
      <c r="W115" s="800"/>
      <c r="X115" s="800"/>
      <c r="Y115" s="800"/>
      <c r="Z115" s="800"/>
      <c r="AA115" s="801"/>
      <c r="AB115" s="697" t="s">
        <v>45</v>
      </c>
      <c r="AC115" s="697"/>
      <c r="AD115" s="697"/>
      <c r="AE115" s="697"/>
      <c r="AF115" s="697"/>
    </row>
    <row r="116" spans="1:32">
      <c r="A116" s="804"/>
      <c r="B116" s="767"/>
      <c r="C116" s="768"/>
      <c r="D116" s="769"/>
      <c r="E116" s="705" t="s">
        <v>115</v>
      </c>
      <c r="F116" s="736" t="s">
        <v>85</v>
      </c>
      <c r="G116" s="737"/>
      <c r="H116" s="737"/>
      <c r="I116" s="738"/>
      <c r="J116" s="705" t="s">
        <v>115</v>
      </c>
      <c r="K116" s="736" t="s">
        <v>85</v>
      </c>
      <c r="L116" s="798"/>
      <c r="M116" s="798"/>
      <c r="N116" s="745"/>
      <c r="O116" s="705" t="s">
        <v>115</v>
      </c>
      <c r="P116" s="552"/>
      <c r="Q116" s="736" t="s">
        <v>85</v>
      </c>
      <c r="R116" s="737"/>
      <c r="S116" s="737"/>
      <c r="T116" s="738"/>
      <c r="U116" s="705" t="s">
        <v>115</v>
      </c>
      <c r="V116" s="370"/>
      <c r="W116" s="370"/>
      <c r="X116" s="736" t="s">
        <v>85</v>
      </c>
      <c r="Y116" s="737"/>
      <c r="Z116" s="737"/>
      <c r="AA116" s="738"/>
      <c r="AB116" s="697" t="s">
        <v>115</v>
      </c>
      <c r="AC116" s="697" t="s">
        <v>85</v>
      </c>
      <c r="AD116" s="697"/>
      <c r="AE116" s="697"/>
      <c r="AF116" s="697"/>
    </row>
    <row r="117" spans="1:32">
      <c r="A117" s="804"/>
      <c r="B117" s="770"/>
      <c r="C117" s="771"/>
      <c r="D117" s="772"/>
      <c r="E117" s="761"/>
      <c r="F117" s="7" t="s">
        <v>256</v>
      </c>
      <c r="G117" s="7" t="s">
        <v>253</v>
      </c>
      <c r="H117" s="7" t="s">
        <v>254</v>
      </c>
      <c r="I117" s="7" t="s">
        <v>255</v>
      </c>
      <c r="J117" s="761"/>
      <c r="K117" s="7" t="s">
        <v>256</v>
      </c>
      <c r="L117" s="7" t="s">
        <v>253</v>
      </c>
      <c r="M117" s="7" t="s">
        <v>254</v>
      </c>
      <c r="N117" s="7" t="s">
        <v>255</v>
      </c>
      <c r="O117" s="761"/>
      <c r="P117" s="551"/>
      <c r="Q117" s="7" t="s">
        <v>65</v>
      </c>
      <c r="R117" s="7" t="s">
        <v>66</v>
      </c>
      <c r="S117" s="7" t="s">
        <v>64</v>
      </c>
      <c r="T117" s="7" t="s">
        <v>61</v>
      </c>
      <c r="U117" s="761"/>
      <c r="V117" s="374"/>
      <c r="W117" s="374"/>
      <c r="X117" s="7" t="s">
        <v>65</v>
      </c>
      <c r="Y117" s="7" t="s">
        <v>66</v>
      </c>
      <c r="Z117" s="7" t="s">
        <v>64</v>
      </c>
      <c r="AA117" s="7" t="s">
        <v>61</v>
      </c>
      <c r="AB117" s="697"/>
      <c r="AC117" s="7" t="s">
        <v>65</v>
      </c>
      <c r="AD117" s="7" t="s">
        <v>66</v>
      </c>
      <c r="AE117" s="7" t="s">
        <v>64</v>
      </c>
      <c r="AF117" s="7" t="s">
        <v>61</v>
      </c>
    </row>
    <row r="118" spans="1:32">
      <c r="A118" s="278">
        <v>1</v>
      </c>
      <c r="B118" s="773">
        <v>2</v>
      </c>
      <c r="C118" s="774"/>
      <c r="D118" s="775"/>
      <c r="E118" s="7">
        <v>3</v>
      </c>
      <c r="F118" s="7">
        <v>4</v>
      </c>
      <c r="G118" s="7">
        <v>5</v>
      </c>
      <c r="H118" s="7">
        <v>6</v>
      </c>
      <c r="I118" s="7">
        <v>7</v>
      </c>
      <c r="J118" s="7">
        <v>8</v>
      </c>
      <c r="K118" s="7">
        <v>9</v>
      </c>
      <c r="L118" s="7">
        <v>10</v>
      </c>
      <c r="M118" s="7">
        <v>11</v>
      </c>
      <c r="N118" s="7">
        <v>12</v>
      </c>
      <c r="O118" s="7">
        <v>13</v>
      </c>
      <c r="P118" s="545"/>
      <c r="Q118" s="7">
        <v>14</v>
      </c>
      <c r="R118" s="7">
        <v>15</v>
      </c>
      <c r="S118" s="7">
        <v>16</v>
      </c>
      <c r="T118" s="7">
        <v>17</v>
      </c>
      <c r="U118" s="7">
        <v>18</v>
      </c>
      <c r="V118" s="368"/>
      <c r="W118" s="368"/>
      <c r="X118" s="7">
        <v>19</v>
      </c>
      <c r="Y118" s="6">
        <v>20</v>
      </c>
      <c r="Z118" s="6">
        <v>21</v>
      </c>
      <c r="AA118" s="6">
        <v>22</v>
      </c>
      <c r="AB118" s="6">
        <v>23</v>
      </c>
      <c r="AC118" s="6">
        <v>24</v>
      </c>
      <c r="AD118" s="6">
        <v>25</v>
      </c>
      <c r="AE118" s="6">
        <v>26</v>
      </c>
      <c r="AF118" s="6">
        <v>27</v>
      </c>
    </row>
    <row r="119" spans="1:32" ht="63.75" customHeight="1">
      <c r="A119" s="16"/>
      <c r="B119" s="751" t="s">
        <v>449</v>
      </c>
      <c r="C119" s="752"/>
      <c r="D119" s="753"/>
      <c r="E119" s="214">
        <f>F119+G119+H119+I119</f>
        <v>0</v>
      </c>
      <c r="F119" s="216"/>
      <c r="G119" s="216"/>
      <c r="H119" s="217"/>
      <c r="I119" s="217"/>
      <c r="J119" s="488">
        <f>K119+L119+M119+N119</f>
        <v>0</v>
      </c>
      <c r="K119" s="488"/>
      <c r="L119" s="488"/>
      <c r="M119" s="488"/>
      <c r="N119" s="488"/>
      <c r="O119" s="488">
        <f>Q119+R119+S119+T119</f>
        <v>1600</v>
      </c>
      <c r="P119" s="488"/>
      <c r="Q119" s="489">
        <v>400</v>
      </c>
      <c r="R119" s="489">
        <v>400</v>
      </c>
      <c r="S119" s="489">
        <v>400</v>
      </c>
      <c r="T119" s="489">
        <v>400</v>
      </c>
      <c r="U119" s="488">
        <f>X119+Y119+Z119+AA119</f>
        <v>0</v>
      </c>
      <c r="V119" s="488"/>
      <c r="W119" s="488"/>
      <c r="X119" s="489"/>
      <c r="Y119" s="489"/>
      <c r="Z119" s="489"/>
      <c r="AA119" s="489"/>
      <c r="AB119" s="488">
        <f>E119+J119+O119+U119</f>
        <v>1600</v>
      </c>
      <c r="AC119" s="569">
        <f t="shared" ref="AC119:AF123" si="10">F119+K119+Q119+X119</f>
        <v>400</v>
      </c>
      <c r="AD119" s="569">
        <f t="shared" si="10"/>
        <v>400</v>
      </c>
      <c r="AE119" s="569">
        <f t="shared" si="10"/>
        <v>400</v>
      </c>
      <c r="AF119" s="569">
        <f t="shared" si="10"/>
        <v>400</v>
      </c>
    </row>
    <row r="120" spans="1:32" ht="50.25" customHeight="1">
      <c r="A120" s="16"/>
      <c r="B120" s="776" t="s">
        <v>16</v>
      </c>
      <c r="C120" s="777"/>
      <c r="D120" s="778"/>
      <c r="E120" s="214">
        <f>F120+G120+H120+I120</f>
        <v>0</v>
      </c>
      <c r="F120" s="216"/>
      <c r="G120" s="216"/>
      <c r="H120" s="217"/>
      <c r="I120" s="217"/>
      <c r="J120" s="488">
        <f>K120+L120+M120+N120</f>
        <v>0</v>
      </c>
      <c r="K120" s="488"/>
      <c r="L120" s="488"/>
      <c r="M120" s="488"/>
      <c r="N120" s="488"/>
      <c r="O120" s="488">
        <f>Q120+R120+S120+T120</f>
        <v>400</v>
      </c>
      <c r="P120" s="488"/>
      <c r="Q120" s="489">
        <v>100</v>
      </c>
      <c r="R120" s="489">
        <v>100</v>
      </c>
      <c r="S120" s="489">
        <v>100</v>
      </c>
      <c r="T120" s="489">
        <v>100</v>
      </c>
      <c r="U120" s="488">
        <f>X120+Y120+Z120+AA120</f>
        <v>0</v>
      </c>
      <c r="V120" s="488"/>
      <c r="W120" s="488"/>
      <c r="X120" s="489"/>
      <c r="Y120" s="489"/>
      <c r="Z120" s="489"/>
      <c r="AA120" s="489"/>
      <c r="AB120" s="488">
        <f>E120+J120+O120+U120</f>
        <v>400</v>
      </c>
      <c r="AC120" s="569">
        <f t="shared" si="10"/>
        <v>100</v>
      </c>
      <c r="AD120" s="569">
        <f t="shared" si="10"/>
        <v>100</v>
      </c>
      <c r="AE120" s="569">
        <f t="shared" si="10"/>
        <v>100</v>
      </c>
      <c r="AF120" s="569">
        <f t="shared" si="10"/>
        <v>100</v>
      </c>
    </row>
    <row r="121" spans="1:32" ht="39" customHeight="1">
      <c r="B121" s="751" t="s">
        <v>450</v>
      </c>
      <c r="C121" s="752"/>
      <c r="D121" s="753"/>
      <c r="E121" s="214">
        <f>F121+G121+H121+I121</f>
        <v>0</v>
      </c>
      <c r="F121" s="216"/>
      <c r="G121" s="216"/>
      <c r="H121" s="217"/>
      <c r="I121" s="217"/>
      <c r="J121" s="488">
        <f>K121+L121+M121+N121</f>
        <v>3710</v>
      </c>
      <c r="K121" s="488">
        <f>'4. Кап. інвестиції'!G18</f>
        <v>3710</v>
      </c>
      <c r="L121" s="488">
        <f>'4. Кап. інвестиції'!H18</f>
        <v>0</v>
      </c>
      <c r="M121" s="488">
        <f>'4. Кап. інвестиції'!I18</f>
        <v>0</v>
      </c>
      <c r="N121" s="488"/>
      <c r="O121" s="488">
        <f>Q121+R121+S121+T121</f>
        <v>0</v>
      </c>
      <c r="P121" s="488"/>
      <c r="Q121" s="489"/>
      <c r="R121" s="489"/>
      <c r="S121" s="489"/>
      <c r="T121" s="489"/>
      <c r="U121" s="488">
        <f>X121+Y121+Z121+AA121</f>
        <v>0</v>
      </c>
      <c r="V121" s="488"/>
      <c r="W121" s="488"/>
      <c r="X121" s="489"/>
      <c r="Y121" s="489"/>
      <c r="Z121" s="489"/>
      <c r="AA121" s="489"/>
      <c r="AB121" s="488">
        <f>E121+J121+O121+U121</f>
        <v>3710</v>
      </c>
      <c r="AC121" s="569">
        <f t="shared" si="10"/>
        <v>3710</v>
      </c>
      <c r="AD121" s="569">
        <f t="shared" si="10"/>
        <v>0</v>
      </c>
      <c r="AE121" s="569">
        <f t="shared" si="10"/>
        <v>0</v>
      </c>
      <c r="AF121" s="569">
        <f t="shared" si="10"/>
        <v>0</v>
      </c>
    </row>
    <row r="122" spans="1:32" hidden="1">
      <c r="A122" s="64"/>
      <c r="B122" s="779"/>
      <c r="C122" s="780"/>
      <c r="D122" s="781"/>
      <c r="E122" s="214">
        <f>F122+G122+H122+I122</f>
        <v>0</v>
      </c>
      <c r="F122" s="216"/>
      <c r="G122" s="216"/>
      <c r="H122" s="217"/>
      <c r="I122" s="217"/>
      <c r="J122" s="101">
        <f>K122+L122+M122+N122</f>
        <v>0</v>
      </c>
      <c r="K122" s="101"/>
      <c r="L122" s="101"/>
      <c r="M122" s="101"/>
      <c r="N122" s="101"/>
      <c r="O122" s="101">
        <f>Q122+R122+S122+T122</f>
        <v>0</v>
      </c>
      <c r="P122" s="101"/>
      <c r="Q122" s="102"/>
      <c r="R122" s="102"/>
      <c r="S122" s="102"/>
      <c r="T122" s="102"/>
      <c r="U122" s="101">
        <f>X122+Y122+Z122+AA122</f>
        <v>0</v>
      </c>
      <c r="V122" s="101"/>
      <c r="W122" s="101"/>
      <c r="X122" s="102"/>
      <c r="Y122" s="102"/>
      <c r="Z122" s="102"/>
      <c r="AA122" s="102"/>
      <c r="AB122" s="101">
        <f>E122+J122+O122+U122</f>
        <v>0</v>
      </c>
      <c r="AC122" s="357">
        <f t="shared" si="10"/>
        <v>0</v>
      </c>
      <c r="AD122" s="357">
        <f t="shared" si="10"/>
        <v>0</v>
      </c>
      <c r="AE122" s="357">
        <f t="shared" si="10"/>
        <v>0</v>
      </c>
      <c r="AF122" s="357">
        <f t="shared" si="10"/>
        <v>0</v>
      </c>
    </row>
    <row r="123" spans="1:32" s="17" customFormat="1">
      <c r="A123" s="227" t="s">
        <v>45</v>
      </c>
      <c r="B123" s="783"/>
      <c r="C123" s="784"/>
      <c r="D123" s="785"/>
      <c r="E123" s="228">
        <f>SUM(E119:E122)</f>
        <v>0</v>
      </c>
      <c r="F123" s="227"/>
      <c r="G123" s="358"/>
      <c r="H123" s="359"/>
      <c r="I123" s="359"/>
      <c r="J123" s="360">
        <f>SUM(J119:J122)</f>
        <v>3710</v>
      </c>
      <c r="K123" s="360">
        <f t="shared" ref="K123:AA123" si="11">SUM(K119:K122)</f>
        <v>3710</v>
      </c>
      <c r="L123" s="360">
        <f t="shared" si="11"/>
        <v>0</v>
      </c>
      <c r="M123" s="360">
        <f t="shared" si="11"/>
        <v>0</v>
      </c>
      <c r="N123" s="360">
        <f t="shared" si="11"/>
        <v>0</v>
      </c>
      <c r="O123" s="360">
        <f t="shared" si="11"/>
        <v>2000</v>
      </c>
      <c r="P123" s="360"/>
      <c r="Q123" s="360">
        <f t="shared" si="11"/>
        <v>500</v>
      </c>
      <c r="R123" s="360">
        <f t="shared" si="11"/>
        <v>500</v>
      </c>
      <c r="S123" s="360">
        <f t="shared" si="11"/>
        <v>500</v>
      </c>
      <c r="T123" s="360">
        <f t="shared" si="11"/>
        <v>500</v>
      </c>
      <c r="U123" s="360">
        <f t="shared" si="11"/>
        <v>0</v>
      </c>
      <c r="V123" s="360"/>
      <c r="W123" s="360"/>
      <c r="X123" s="360">
        <f t="shared" si="11"/>
        <v>0</v>
      </c>
      <c r="Y123" s="360">
        <f t="shared" si="11"/>
        <v>0</v>
      </c>
      <c r="Z123" s="360">
        <f t="shared" si="11"/>
        <v>0</v>
      </c>
      <c r="AA123" s="360">
        <f t="shared" si="11"/>
        <v>0</v>
      </c>
      <c r="AB123" s="360">
        <f>E123+J123+O123+U123</f>
        <v>5710</v>
      </c>
      <c r="AC123" s="361">
        <f t="shared" si="10"/>
        <v>4210</v>
      </c>
      <c r="AD123" s="361">
        <f t="shared" si="10"/>
        <v>500</v>
      </c>
      <c r="AE123" s="361">
        <f t="shared" si="10"/>
        <v>500</v>
      </c>
      <c r="AF123" s="361">
        <f t="shared" si="10"/>
        <v>500</v>
      </c>
    </row>
    <row r="124" spans="1:32">
      <c r="A124" s="8" t="s">
        <v>46</v>
      </c>
      <c r="B124" s="748"/>
      <c r="C124" s="749"/>
      <c r="D124" s="782"/>
      <c r="E124" s="8"/>
      <c r="F124" s="8"/>
      <c r="G124" s="66">
        <f>G123/AB123*100</f>
        <v>0</v>
      </c>
      <c r="H124" s="362"/>
      <c r="I124" s="362"/>
      <c r="J124" s="147">
        <f>J123/AB123*100</f>
        <v>64.973730297723293</v>
      </c>
      <c r="K124" s="147">
        <f>K123/AB123*100</f>
        <v>64.973730297723293</v>
      </c>
      <c r="L124" s="147">
        <f>L123/AB123*100</f>
        <v>0</v>
      </c>
      <c r="M124" s="147">
        <f>M123/AB123*100</f>
        <v>0</v>
      </c>
      <c r="N124" s="147">
        <f>N123/AB123*100</f>
        <v>0</v>
      </c>
      <c r="O124" s="147">
        <f>O123/AB123*100</f>
        <v>35.026269702276707</v>
      </c>
      <c r="P124" s="147"/>
      <c r="Q124" s="147">
        <f>Q123/AB123*100</f>
        <v>8.7565674255691768</v>
      </c>
      <c r="R124" s="147">
        <f>R123/AB123*100</f>
        <v>8.7565674255691768</v>
      </c>
      <c r="S124" s="147">
        <f>S123/AB123*100</f>
        <v>8.7565674255691768</v>
      </c>
      <c r="T124" s="147">
        <f>T123/AB123*100</f>
        <v>8.7565674255691768</v>
      </c>
      <c r="U124" s="147">
        <f>U123/AB123*100</f>
        <v>0</v>
      </c>
      <c r="V124" s="147"/>
      <c r="W124" s="147"/>
      <c r="X124" s="147">
        <f>X123/AB123*100</f>
        <v>0</v>
      </c>
      <c r="Y124" s="147">
        <f>Y123/AB123*100</f>
        <v>0</v>
      </c>
      <c r="Z124" s="147">
        <f>Z123/AB123*100</f>
        <v>0</v>
      </c>
      <c r="AA124" s="147">
        <f>AA123/AB123*100</f>
        <v>0</v>
      </c>
      <c r="AB124" s="147">
        <v>100</v>
      </c>
      <c r="AC124" s="147">
        <f>AC123/AB123*100</f>
        <v>73.730297723292466</v>
      </c>
      <c r="AD124" s="147">
        <f>AD123/AB123*100</f>
        <v>8.7565674255691768</v>
      </c>
      <c r="AE124" s="147">
        <f>AE123/AB123*100</f>
        <v>8.7565674255691768</v>
      </c>
      <c r="AF124" s="147">
        <f>AF123/AB123*100</f>
        <v>8.7565674255691768</v>
      </c>
    </row>
    <row r="125" spans="1:32" ht="13.5" customHeight="1">
      <c r="F125" s="829"/>
      <c r="G125" s="830"/>
      <c r="H125" s="830"/>
      <c r="I125" s="830"/>
    </row>
    <row r="126" spans="1:32" ht="18.75" hidden="1" customHeight="1">
      <c r="F126" s="3"/>
      <c r="G126" s="218"/>
      <c r="H126" s="218"/>
      <c r="I126" s="218"/>
    </row>
    <row r="127" spans="1:32" s="225" customFormat="1">
      <c r="A127" s="235" t="s">
        <v>272</v>
      </c>
      <c r="B127" s="226"/>
      <c r="C127" s="226"/>
      <c r="D127" s="226"/>
    </row>
    <row r="128" spans="1:32" ht="18" customHeight="1">
      <c r="A128" s="17"/>
    </row>
    <row r="129" spans="1:36" hidden="1">
      <c r="A129" s="17"/>
      <c r="X129" s="2" t="s">
        <v>286</v>
      </c>
    </row>
    <row r="130" spans="1:36" ht="18.75" customHeight="1">
      <c r="A130" s="696" t="s">
        <v>40</v>
      </c>
      <c r="B130" s="786" t="s">
        <v>276</v>
      </c>
      <c r="C130" s="787"/>
      <c r="D130" s="788"/>
      <c r="E130" s="705" t="s">
        <v>277</v>
      </c>
      <c r="F130" s="705" t="s">
        <v>278</v>
      </c>
      <c r="G130" s="705" t="s">
        <v>273</v>
      </c>
      <c r="H130" s="705" t="s">
        <v>274</v>
      </c>
      <c r="I130" s="736" t="s">
        <v>115</v>
      </c>
      <c r="J130" s="737"/>
      <c r="K130" s="737"/>
      <c r="L130" s="737"/>
      <c r="M130" s="738"/>
      <c r="N130" s="786" t="s">
        <v>279</v>
      </c>
      <c r="O130" s="797"/>
      <c r="P130" s="797"/>
      <c r="Q130" s="788"/>
      <c r="R130" s="697" t="s">
        <v>280</v>
      </c>
      <c r="S130" s="697"/>
      <c r="T130" s="697"/>
      <c r="U130" s="697"/>
      <c r="V130" s="697"/>
      <c r="W130" s="697"/>
      <c r="X130" s="697"/>
      <c r="Y130" s="697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 spans="1:36">
      <c r="A131" s="696"/>
      <c r="B131" s="789"/>
      <c r="C131" s="790"/>
      <c r="D131" s="791"/>
      <c r="E131" s="805"/>
      <c r="F131" s="805"/>
      <c r="G131" s="805"/>
      <c r="H131" s="805"/>
      <c r="I131" s="705" t="s">
        <v>275</v>
      </c>
      <c r="J131" s="705" t="s">
        <v>281</v>
      </c>
      <c r="K131" s="736" t="s">
        <v>285</v>
      </c>
      <c r="L131" s="798"/>
      <c r="M131" s="745"/>
      <c r="N131" s="834"/>
      <c r="O131" s="835"/>
      <c r="P131" s="835"/>
      <c r="Q131" s="791"/>
      <c r="R131" s="697"/>
      <c r="S131" s="697"/>
      <c r="T131" s="697"/>
      <c r="U131" s="697"/>
      <c r="V131" s="697"/>
      <c r="W131" s="697"/>
      <c r="X131" s="697"/>
      <c r="Y131" s="697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1:36" ht="96.75" customHeight="1">
      <c r="A132" s="696"/>
      <c r="B132" s="792"/>
      <c r="C132" s="793"/>
      <c r="D132" s="794"/>
      <c r="E132" s="761"/>
      <c r="F132" s="761"/>
      <c r="G132" s="761"/>
      <c r="H132" s="761"/>
      <c r="I132" s="761"/>
      <c r="J132" s="761"/>
      <c r="K132" s="127" t="s">
        <v>282</v>
      </c>
      <c r="L132" s="7" t="s">
        <v>283</v>
      </c>
      <c r="M132" s="7" t="s">
        <v>284</v>
      </c>
      <c r="N132" s="836"/>
      <c r="O132" s="837"/>
      <c r="P132" s="837"/>
      <c r="Q132" s="794"/>
      <c r="R132" s="697"/>
      <c r="S132" s="697"/>
      <c r="T132" s="697"/>
      <c r="U132" s="697"/>
      <c r="V132" s="697"/>
      <c r="W132" s="697"/>
      <c r="X132" s="697"/>
      <c r="Y132" s="697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</row>
    <row r="133" spans="1:36">
      <c r="A133" s="6">
        <v>1</v>
      </c>
      <c r="B133" s="736">
        <v>2</v>
      </c>
      <c r="C133" s="737"/>
      <c r="D133" s="745"/>
      <c r="E133" s="7">
        <v>3</v>
      </c>
      <c r="F133" s="7">
        <v>4</v>
      </c>
      <c r="G133" s="7">
        <v>5</v>
      </c>
      <c r="H133" s="7">
        <v>6</v>
      </c>
      <c r="I133" s="7">
        <v>7</v>
      </c>
      <c r="J133" s="7">
        <v>8</v>
      </c>
      <c r="K133" s="7">
        <v>9</v>
      </c>
      <c r="L133" s="7">
        <v>10</v>
      </c>
      <c r="M133" s="7">
        <v>11</v>
      </c>
      <c r="N133" s="736">
        <v>12</v>
      </c>
      <c r="O133" s="798"/>
      <c r="P133" s="798"/>
      <c r="Q133" s="745"/>
      <c r="R133" s="736">
        <v>13</v>
      </c>
      <c r="S133" s="737"/>
      <c r="T133" s="802"/>
      <c r="U133" s="802"/>
      <c r="V133" s="802"/>
      <c r="W133" s="802"/>
      <c r="X133" s="802"/>
      <c r="Y133" s="803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</row>
    <row r="134" spans="1:36" ht="18.75" hidden="1" customHeight="1">
      <c r="A134" s="64"/>
      <c r="B134" s="795"/>
      <c r="C134" s="796"/>
      <c r="D134" s="782"/>
      <c r="E134" s="64"/>
      <c r="F134" s="64"/>
      <c r="G134" s="64"/>
      <c r="H134" s="64"/>
      <c r="I134" s="64"/>
      <c r="J134" s="64"/>
      <c r="K134" s="64"/>
      <c r="L134" s="64"/>
      <c r="M134" s="64"/>
      <c r="N134" s="746"/>
      <c r="O134" s="798"/>
      <c r="P134" s="798"/>
      <c r="Q134" s="745"/>
      <c r="R134" s="746"/>
      <c r="S134" s="747"/>
      <c r="T134" s="798"/>
      <c r="U134" s="798"/>
      <c r="V134" s="798"/>
      <c r="W134" s="798"/>
      <c r="X134" s="798"/>
      <c r="Y134" s="745"/>
      <c r="Z134" s="106"/>
      <c r="AA134" s="106"/>
      <c r="AB134" s="106"/>
      <c r="AC134" s="106"/>
      <c r="AD134" s="106"/>
      <c r="AE134" s="107"/>
      <c r="AF134" s="107"/>
      <c r="AG134" s="107"/>
      <c r="AH134" s="107"/>
      <c r="AI134" s="107"/>
      <c r="AJ134" s="107"/>
    </row>
    <row r="135" spans="1:36">
      <c r="A135" s="64"/>
      <c r="B135" s="795"/>
      <c r="C135" s="796"/>
      <c r="D135" s="782"/>
      <c r="E135" s="64"/>
      <c r="F135" s="64"/>
      <c r="G135" s="64"/>
      <c r="H135" s="64"/>
      <c r="I135" s="64"/>
      <c r="J135" s="64"/>
      <c r="K135" s="64"/>
      <c r="L135" s="64"/>
      <c r="M135" s="64"/>
      <c r="N135" s="746"/>
      <c r="O135" s="798"/>
      <c r="P135" s="798"/>
      <c r="Q135" s="745"/>
      <c r="R135" s="746"/>
      <c r="S135" s="747"/>
      <c r="T135" s="798"/>
      <c r="U135" s="798"/>
      <c r="V135" s="798"/>
      <c r="W135" s="798"/>
      <c r="X135" s="798"/>
      <c r="Y135" s="745"/>
      <c r="Z135" s="106"/>
      <c r="AA135" s="106"/>
      <c r="AB135" s="106"/>
      <c r="AC135" s="106"/>
      <c r="AD135" s="106"/>
      <c r="AE135" s="107"/>
      <c r="AF135" s="107"/>
      <c r="AG135" s="107"/>
      <c r="AH135" s="107"/>
      <c r="AI135" s="107"/>
      <c r="AJ135" s="107"/>
    </row>
    <row r="136" spans="1:36">
      <c r="A136" s="8" t="s">
        <v>45</v>
      </c>
      <c r="B136" s="748"/>
      <c r="C136" s="749"/>
      <c r="D136" s="782"/>
      <c r="E136" s="8"/>
      <c r="F136" s="8"/>
      <c r="G136" s="7"/>
      <c r="H136" s="7"/>
      <c r="I136" s="7"/>
      <c r="J136" s="7"/>
      <c r="K136" s="7"/>
      <c r="L136" s="7"/>
      <c r="M136" s="7"/>
      <c r="N136" s="736"/>
      <c r="O136" s="798"/>
      <c r="P136" s="798"/>
      <c r="Q136" s="745"/>
      <c r="R136" s="736"/>
      <c r="S136" s="737"/>
      <c r="T136" s="798"/>
      <c r="U136" s="798"/>
      <c r="V136" s="798"/>
      <c r="W136" s="798"/>
      <c r="X136" s="798"/>
      <c r="Y136" s="745"/>
      <c r="Z136" s="106"/>
      <c r="AA136" s="106"/>
      <c r="AB136" s="106"/>
      <c r="AC136" s="106"/>
      <c r="AD136" s="106"/>
      <c r="AE136" s="107"/>
      <c r="AF136" s="107"/>
      <c r="AG136" s="107"/>
      <c r="AH136" s="107"/>
      <c r="AI136" s="107"/>
      <c r="AJ136" s="107"/>
    </row>
    <row r="138" spans="1:36" ht="18.75" customHeight="1">
      <c r="I138" s="717" t="s">
        <v>332</v>
      </c>
      <c r="J138" s="717"/>
      <c r="K138" s="717"/>
      <c r="L138" s="717"/>
    </row>
    <row r="139" spans="1:36" ht="21.75" customHeight="1">
      <c r="A139" s="364" t="s">
        <v>190</v>
      </c>
      <c r="B139" s="1"/>
      <c r="C139" s="1"/>
      <c r="D139" s="1"/>
      <c r="E139" s="698" t="s">
        <v>92</v>
      </c>
      <c r="F139" s="699"/>
      <c r="G139" s="14"/>
      <c r="H139" s="700" t="s">
        <v>338</v>
      </c>
      <c r="I139" s="700"/>
      <c r="J139" s="700"/>
    </row>
    <row r="140" spans="1:36">
      <c r="A140" s="21" t="s">
        <v>68</v>
      </c>
      <c r="B140" s="3"/>
      <c r="C140" s="3"/>
      <c r="D140" s="3"/>
      <c r="E140" s="695" t="s">
        <v>69</v>
      </c>
      <c r="F140" s="695"/>
      <c r="G140" s="23"/>
      <c r="H140" s="710" t="s">
        <v>88</v>
      </c>
      <c r="I140" s="710"/>
      <c r="J140" s="710"/>
    </row>
  </sheetData>
  <mergeCells count="175">
    <mergeCell ref="E140:F140"/>
    <mergeCell ref="H140:J140"/>
    <mergeCell ref="F125:I125"/>
    <mergeCell ref="H20:I20"/>
    <mergeCell ref="H28:I28"/>
    <mergeCell ref="H30:I30"/>
    <mergeCell ref="H33:I33"/>
    <mergeCell ref="H34:I34"/>
    <mergeCell ref="F116:I116"/>
    <mergeCell ref="I76:K76"/>
    <mergeCell ref="F42:G42"/>
    <mergeCell ref="G75:H75"/>
    <mergeCell ref="E75:F75"/>
    <mergeCell ref="F36:G36"/>
    <mergeCell ref="F34:G34"/>
    <mergeCell ref="F35:G35"/>
    <mergeCell ref="H31:I31"/>
    <mergeCell ref="H23:I23"/>
    <mergeCell ref="H24:I24"/>
    <mergeCell ref="H32:I32"/>
    <mergeCell ref="J115:N115"/>
    <mergeCell ref="K131:M131"/>
    <mergeCell ref="N130:Q132"/>
    <mergeCell ref="E139:F139"/>
    <mergeCell ref="H139:J139"/>
    <mergeCell ref="O116:O117"/>
    <mergeCell ref="J116:J117"/>
    <mergeCell ref="I131:I132"/>
    <mergeCell ref="J131:J132"/>
    <mergeCell ref="A42:A43"/>
    <mergeCell ref="F18:G18"/>
    <mergeCell ref="F27:G27"/>
    <mergeCell ref="F19:G19"/>
    <mergeCell ref="F20:G20"/>
    <mergeCell ref="F21:G21"/>
    <mergeCell ref="B42:C42"/>
    <mergeCell ref="D42:E42"/>
    <mergeCell ref="F31:G31"/>
    <mergeCell ref="F30:G30"/>
    <mergeCell ref="F32:G32"/>
    <mergeCell ref="F33:G33"/>
    <mergeCell ref="F29:G29"/>
    <mergeCell ref="F28:G28"/>
    <mergeCell ref="H22:I22"/>
    <mergeCell ref="H26:I26"/>
    <mergeCell ref="H18:I18"/>
    <mergeCell ref="H19:I19"/>
    <mergeCell ref="H21:I21"/>
    <mergeCell ref="H12:I12"/>
    <mergeCell ref="H13:I13"/>
    <mergeCell ref="A4:I4"/>
    <mergeCell ref="F17:G17"/>
    <mergeCell ref="F16:G16"/>
    <mergeCell ref="F12:G12"/>
    <mergeCell ref="F13:G13"/>
    <mergeCell ref="H14:I14"/>
    <mergeCell ref="H15:I15"/>
    <mergeCell ref="H16:I16"/>
    <mergeCell ref="F14:G14"/>
    <mergeCell ref="A5:I5"/>
    <mergeCell ref="A7:I7"/>
    <mergeCell ref="A6:I6"/>
    <mergeCell ref="H17:I17"/>
    <mergeCell ref="F15:G15"/>
    <mergeCell ref="H42:I42"/>
    <mergeCell ref="J42:K42"/>
    <mergeCell ref="I66:K66"/>
    <mergeCell ref="I67:K67"/>
    <mergeCell ref="I68:K68"/>
    <mergeCell ref="I69:K69"/>
    <mergeCell ref="F23:G23"/>
    <mergeCell ref="F22:G22"/>
    <mergeCell ref="F26:G26"/>
    <mergeCell ref="F24:G24"/>
    <mergeCell ref="F25:G25"/>
    <mergeCell ref="H36:I36"/>
    <mergeCell ref="H35:I35"/>
    <mergeCell ref="H25:I25"/>
    <mergeCell ref="H29:I29"/>
    <mergeCell ref="H27:I27"/>
    <mergeCell ref="H41:I41"/>
    <mergeCell ref="AB115:AF115"/>
    <mergeCell ref="O115:T115"/>
    <mergeCell ref="AC116:AF116"/>
    <mergeCell ref="G91:G92"/>
    <mergeCell ref="AB116:AB117"/>
    <mergeCell ref="Q116:T116"/>
    <mergeCell ref="U116:U117"/>
    <mergeCell ref="X116:AA116"/>
    <mergeCell ref="K116:N116"/>
    <mergeCell ref="E115:I115"/>
    <mergeCell ref="H103:H104"/>
    <mergeCell ref="I103:L103"/>
    <mergeCell ref="Z114:AF114"/>
    <mergeCell ref="H91:L91"/>
    <mergeCell ref="A89:K89"/>
    <mergeCell ref="A115:A117"/>
    <mergeCell ref="I130:M130"/>
    <mergeCell ref="E130:E132"/>
    <mergeCell ref="F130:F132"/>
    <mergeCell ref="G130:G132"/>
    <mergeCell ref="H130:H132"/>
    <mergeCell ref="B94:D94"/>
    <mergeCell ref="B95:D95"/>
    <mergeCell ref="A91:A92"/>
    <mergeCell ref="A102:A104"/>
    <mergeCell ref="E102:E104"/>
    <mergeCell ref="F102:F104"/>
    <mergeCell ref="E91:E92"/>
    <mergeCell ref="B98:D98"/>
    <mergeCell ref="B102:D104"/>
    <mergeCell ref="F91:F92"/>
    <mergeCell ref="B91:D92"/>
    <mergeCell ref="B93:D93"/>
    <mergeCell ref="A100:I100"/>
    <mergeCell ref="B108:D108"/>
    <mergeCell ref="G102:G104"/>
    <mergeCell ref="H102:L102"/>
    <mergeCell ref="R135:Y135"/>
    <mergeCell ref="R136:Y136"/>
    <mergeCell ref="U115:AA115"/>
    <mergeCell ref="N134:Q134"/>
    <mergeCell ref="R130:Y132"/>
    <mergeCell ref="R133:Y133"/>
    <mergeCell ref="R134:Y134"/>
    <mergeCell ref="N136:Q136"/>
    <mergeCell ref="N135:Q135"/>
    <mergeCell ref="N133:Q133"/>
    <mergeCell ref="I75:K75"/>
    <mergeCell ref="E76:F76"/>
    <mergeCell ref="G76:H76"/>
    <mergeCell ref="B68:D68"/>
    <mergeCell ref="I70:K70"/>
    <mergeCell ref="I71:K71"/>
    <mergeCell ref="B71:D71"/>
    <mergeCell ref="B75:D75"/>
    <mergeCell ref="B76:D76"/>
    <mergeCell ref="I138:L138"/>
    <mergeCell ref="B119:D119"/>
    <mergeCell ref="B96:D96"/>
    <mergeCell ref="B97:D97"/>
    <mergeCell ref="B105:D105"/>
    <mergeCell ref="B106:D106"/>
    <mergeCell ref="A113:G113"/>
    <mergeCell ref="B121:D121"/>
    <mergeCell ref="E116:E117"/>
    <mergeCell ref="B109:D109"/>
    <mergeCell ref="B110:D110"/>
    <mergeCell ref="B115:D117"/>
    <mergeCell ref="B118:D118"/>
    <mergeCell ref="B107:D107"/>
    <mergeCell ref="B120:D120"/>
    <mergeCell ref="A130:A132"/>
    <mergeCell ref="B122:D122"/>
    <mergeCell ref="B136:D136"/>
    <mergeCell ref="B123:D123"/>
    <mergeCell ref="B124:D124"/>
    <mergeCell ref="B130:D132"/>
    <mergeCell ref="B133:D133"/>
    <mergeCell ref="B134:D134"/>
    <mergeCell ref="B135:D135"/>
    <mergeCell ref="B66:D66"/>
    <mergeCell ref="B67:D67"/>
    <mergeCell ref="B69:D69"/>
    <mergeCell ref="B70:D70"/>
    <mergeCell ref="B85:D85"/>
    <mergeCell ref="B86:D86"/>
    <mergeCell ref="B82:D82"/>
    <mergeCell ref="B83:D83"/>
    <mergeCell ref="B84:D84"/>
    <mergeCell ref="B80:D80"/>
    <mergeCell ref="B79:D79"/>
    <mergeCell ref="B81:D81"/>
    <mergeCell ref="B77:D77"/>
    <mergeCell ref="B78:D78"/>
  </mergeCells>
  <phoneticPr fontId="3" type="noConversion"/>
  <pageMargins left="0" right="0" top="0.78740157480314965" bottom="0" header="0.27559055118110237" footer="0.15748031496062992"/>
  <pageSetup paperSize="9" scale="55" fitToHeight="2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BH140"/>
  <sheetViews>
    <sheetView topLeftCell="A89" zoomScale="68" zoomScaleNormal="68" zoomScaleSheetLayoutView="75" workbookViewId="0">
      <selection activeCell="T89" sqref="T88:T89"/>
    </sheetView>
  </sheetViews>
  <sheetFormatPr defaultRowHeight="18.75"/>
  <cols>
    <col min="1" max="1" width="13" style="2" customWidth="1"/>
    <col min="2" max="2" width="15.42578125" style="194" customWidth="1"/>
    <col min="3" max="3" width="19.28515625" style="194" customWidth="1"/>
    <col min="4" max="4" width="12" style="194" customWidth="1"/>
    <col min="5" max="5" width="12.28515625" style="2" customWidth="1"/>
    <col min="6" max="6" width="7.42578125" style="2" customWidth="1"/>
    <col min="7" max="7" width="6.5703125" style="2" customWidth="1"/>
    <col min="8" max="9" width="5.5703125" style="2" customWidth="1"/>
    <col min="10" max="10" width="13.5703125" style="2" customWidth="1"/>
    <col min="11" max="11" width="9.85546875" style="2" customWidth="1"/>
    <col min="12" max="12" width="8.7109375" style="2" customWidth="1"/>
    <col min="13" max="13" width="7.5703125" style="2" customWidth="1"/>
    <col min="14" max="14" width="6.42578125" style="2" customWidth="1"/>
    <col min="15" max="15" width="12.140625" style="2" customWidth="1"/>
    <col min="16" max="16" width="11.42578125" style="2" hidden="1" customWidth="1"/>
    <col min="17" max="17" width="8.42578125" style="2" customWidth="1"/>
    <col min="18" max="18" width="9" style="2" customWidth="1"/>
    <col min="19" max="21" width="8.7109375" style="2" customWidth="1"/>
    <col min="22" max="22" width="0.140625" style="2" hidden="1" customWidth="1"/>
    <col min="23" max="23" width="10.140625" style="2" hidden="1" customWidth="1"/>
    <col min="24" max="25" width="4.85546875" style="2" customWidth="1"/>
    <col min="26" max="26" width="5.28515625" style="2" customWidth="1"/>
    <col min="27" max="27" width="6.140625" style="2" customWidth="1"/>
    <col min="28" max="28" width="11.85546875" style="2" customWidth="1"/>
    <col min="29" max="29" width="10.42578125" style="2" customWidth="1"/>
    <col min="30" max="30" width="7.7109375" style="2" customWidth="1"/>
    <col min="31" max="31" width="6.85546875" style="2" customWidth="1"/>
    <col min="32" max="32" width="8.28515625" style="2" customWidth="1"/>
    <col min="33" max="36" width="9.140625" style="2"/>
    <col min="37" max="37" width="8.28515625" style="2" customWidth="1"/>
    <col min="38" max="38" width="11" style="2" customWidth="1"/>
    <col min="39" max="41" width="9.140625" style="2"/>
    <col min="42" max="42" width="12.28515625" style="2" customWidth="1"/>
    <col min="43" max="43" width="11.85546875" style="2" customWidth="1"/>
    <col min="44" max="16384" width="9.140625" style="2"/>
  </cols>
  <sheetData>
    <row r="2" spans="1:60"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</row>
    <row r="3" spans="1:60">
      <c r="AE3" s="114"/>
      <c r="AF3" s="656"/>
      <c r="AG3" s="656"/>
      <c r="AH3" s="657"/>
      <c r="AI3" s="656"/>
      <c r="AJ3" s="657"/>
      <c r="AK3" s="656"/>
      <c r="AL3" s="657"/>
      <c r="AM3" s="656"/>
      <c r="AN3" s="657"/>
      <c r="AO3" s="656"/>
      <c r="AP3" s="657"/>
      <c r="AQ3" s="656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</row>
    <row r="4" spans="1:60">
      <c r="A4" s="827" t="s">
        <v>106</v>
      </c>
      <c r="B4" s="827"/>
      <c r="C4" s="827"/>
      <c r="D4" s="827"/>
      <c r="E4" s="827"/>
      <c r="F4" s="827"/>
      <c r="G4" s="827"/>
      <c r="H4" s="827"/>
      <c r="I4" s="827"/>
      <c r="J4" s="685"/>
      <c r="K4" s="685"/>
      <c r="L4" s="685"/>
      <c r="M4" s="685"/>
      <c r="N4" s="685"/>
      <c r="O4" s="685"/>
      <c r="P4" s="685"/>
      <c r="AE4" s="114"/>
      <c r="AF4" s="658"/>
      <c r="AG4" s="658"/>
      <c r="AH4" s="658"/>
      <c r="AI4" s="658"/>
      <c r="AJ4" s="658"/>
      <c r="AK4" s="658"/>
      <c r="AL4" s="658"/>
      <c r="AM4" s="658"/>
      <c r="AN4" s="658"/>
      <c r="AO4" s="658"/>
      <c r="AP4" s="658"/>
      <c r="AQ4" s="658"/>
      <c r="AR4" s="253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</row>
    <row r="5" spans="1:60">
      <c r="A5" s="827" t="s">
        <v>461</v>
      </c>
      <c r="B5" s="827"/>
      <c r="C5" s="827"/>
      <c r="D5" s="827"/>
      <c r="E5" s="827"/>
      <c r="F5" s="827"/>
      <c r="G5" s="827"/>
      <c r="H5" s="827"/>
      <c r="I5" s="827"/>
      <c r="J5" s="685"/>
      <c r="K5" s="685"/>
      <c r="L5" s="685"/>
      <c r="M5" s="685"/>
      <c r="N5" s="685"/>
      <c r="O5" s="685"/>
      <c r="P5" s="685"/>
      <c r="AE5" s="114"/>
      <c r="AF5" s="658"/>
      <c r="AG5" s="658"/>
      <c r="AH5" s="658"/>
      <c r="AI5" s="658"/>
      <c r="AJ5" s="658"/>
      <c r="AK5" s="658"/>
      <c r="AL5" s="658"/>
      <c r="AM5" s="658"/>
      <c r="AN5" s="658"/>
      <c r="AO5" s="658"/>
      <c r="AP5" s="658"/>
      <c r="AQ5" s="658"/>
      <c r="AR5" s="253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</row>
    <row r="6" spans="1:60">
      <c r="A6" s="828" t="s">
        <v>448</v>
      </c>
      <c r="B6" s="828"/>
      <c r="C6" s="828"/>
      <c r="D6" s="828"/>
      <c r="E6" s="828"/>
      <c r="F6" s="828"/>
      <c r="G6" s="828"/>
      <c r="H6" s="828"/>
      <c r="I6" s="828"/>
      <c r="J6" s="672"/>
      <c r="K6" s="672"/>
      <c r="L6" s="672"/>
      <c r="M6" s="672"/>
      <c r="N6" s="672"/>
      <c r="O6" s="672"/>
      <c r="P6" s="672"/>
      <c r="AE6" s="114"/>
      <c r="AF6" s="658"/>
      <c r="AG6" s="658"/>
      <c r="AH6" s="658"/>
      <c r="AI6" s="658"/>
      <c r="AJ6" s="658"/>
      <c r="AK6" s="658"/>
      <c r="AL6" s="658"/>
      <c r="AM6" s="658"/>
      <c r="AN6" s="658"/>
      <c r="AO6" s="658"/>
      <c r="AP6" s="658"/>
      <c r="AQ6" s="658"/>
      <c r="AR6" s="253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</row>
    <row r="7" spans="1:60" ht="20.100000000000001" customHeight="1">
      <c r="A7" s="716" t="s">
        <v>113</v>
      </c>
      <c r="B7" s="716"/>
      <c r="C7" s="716"/>
      <c r="D7" s="716"/>
      <c r="E7" s="716"/>
      <c r="F7" s="716"/>
      <c r="G7" s="716"/>
      <c r="H7" s="716"/>
      <c r="I7" s="716"/>
      <c r="J7" s="679"/>
      <c r="K7" s="679"/>
      <c r="L7" s="679"/>
      <c r="M7" s="679"/>
      <c r="N7" s="679"/>
      <c r="O7" s="679"/>
      <c r="P7" s="679"/>
      <c r="AE7" s="114"/>
      <c r="AF7" s="658"/>
      <c r="AG7" s="658"/>
      <c r="AH7" s="658"/>
      <c r="AI7" s="658"/>
      <c r="AJ7" s="658"/>
      <c r="AK7" s="658"/>
      <c r="AL7" s="658"/>
      <c r="AM7" s="658"/>
      <c r="AN7" s="658"/>
      <c r="AO7" s="658"/>
      <c r="AP7" s="658"/>
      <c r="AQ7" s="658"/>
      <c r="AR7" s="253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</row>
    <row r="8" spans="1:60" ht="21.95" customHeight="1">
      <c r="A8" s="5" t="s">
        <v>78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AE8" s="114"/>
      <c r="AF8" s="658"/>
      <c r="AG8" s="658"/>
      <c r="AH8" s="658"/>
      <c r="AI8" s="658"/>
      <c r="AJ8" s="658"/>
      <c r="AK8" s="658"/>
      <c r="AL8" s="658"/>
      <c r="AM8" s="658"/>
      <c r="AN8" s="658"/>
      <c r="AO8" s="658"/>
      <c r="AP8" s="658"/>
      <c r="AQ8" s="658"/>
      <c r="AR8" s="253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</row>
    <row r="9" spans="1:60" ht="16.5" customHeight="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75"/>
      <c r="R9" s="675"/>
      <c r="S9" s="675"/>
      <c r="AE9" s="114"/>
      <c r="AF9" s="658"/>
      <c r="AG9" s="658"/>
      <c r="AH9" s="658"/>
      <c r="AI9" s="658"/>
      <c r="AJ9" s="658"/>
      <c r="AK9" s="658"/>
      <c r="AL9" s="658"/>
      <c r="AM9" s="658"/>
      <c r="AN9" s="658"/>
      <c r="AO9" s="658"/>
      <c r="AP9" s="658"/>
      <c r="AQ9" s="658"/>
      <c r="AR9" s="253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</row>
    <row r="10" spans="1:60" ht="18.75" customHeight="1">
      <c r="A10" s="2" t="s">
        <v>234</v>
      </c>
      <c r="B10" s="2"/>
      <c r="C10" s="2"/>
      <c r="D10" s="2"/>
      <c r="P10" s="675"/>
      <c r="Q10" s="675"/>
      <c r="R10" s="675"/>
      <c r="S10" s="675"/>
      <c r="AE10" s="114"/>
      <c r="AF10" s="658"/>
      <c r="AG10" s="658"/>
      <c r="AH10" s="658"/>
      <c r="AI10" s="658"/>
      <c r="AJ10" s="658"/>
      <c r="AK10" s="658"/>
      <c r="AL10" s="658"/>
      <c r="AM10" s="658"/>
      <c r="AN10" s="658"/>
      <c r="AO10" s="658"/>
      <c r="AP10" s="658"/>
      <c r="AQ10" s="658"/>
      <c r="AR10" s="253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</row>
    <row r="11" spans="1:60" ht="18.75" hidden="1" customHeight="1">
      <c r="A11" s="63"/>
      <c r="B11" s="390" t="s">
        <v>424</v>
      </c>
      <c r="C11" s="390">
        <v>2019</v>
      </c>
      <c r="D11" s="390" t="s">
        <v>479</v>
      </c>
      <c r="E11" s="391">
        <v>2020</v>
      </c>
      <c r="F11" s="63"/>
      <c r="G11" s="63"/>
      <c r="H11" s="63"/>
      <c r="I11" s="63"/>
      <c r="J11" s="63"/>
      <c r="K11" s="63"/>
      <c r="L11" s="63"/>
      <c r="P11" s="675"/>
      <c r="Q11" s="675"/>
      <c r="R11" s="675"/>
      <c r="S11" s="675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</row>
    <row r="12" spans="1:60" s="675" customFormat="1" ht="99.75" customHeight="1">
      <c r="A12" s="673" t="s">
        <v>195</v>
      </c>
      <c r="B12" s="674" t="s">
        <v>17</v>
      </c>
      <c r="C12" s="674" t="s">
        <v>292</v>
      </c>
      <c r="D12" s="674" t="s">
        <v>287</v>
      </c>
      <c r="E12" s="674" t="s">
        <v>248</v>
      </c>
      <c r="F12" s="697" t="s">
        <v>289</v>
      </c>
      <c r="G12" s="697"/>
      <c r="H12" s="697" t="s">
        <v>293</v>
      </c>
      <c r="I12" s="697"/>
      <c r="J12" s="632"/>
      <c r="K12" s="601"/>
      <c r="L12" s="633"/>
      <c r="M12" s="114"/>
      <c r="N12" s="114"/>
      <c r="O12" s="114"/>
      <c r="P12" s="114"/>
      <c r="Q12" s="595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486"/>
      <c r="AQ12" s="486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</row>
    <row r="13" spans="1:60" s="675" customFormat="1" ht="18" customHeight="1">
      <c r="A13" s="673">
        <v>1</v>
      </c>
      <c r="B13" s="673">
        <v>2</v>
      </c>
      <c r="C13" s="673">
        <v>3</v>
      </c>
      <c r="D13" s="673">
        <v>4</v>
      </c>
      <c r="E13" s="673">
        <v>5</v>
      </c>
      <c r="F13" s="697">
        <v>6</v>
      </c>
      <c r="G13" s="697"/>
      <c r="H13" s="697">
        <v>7</v>
      </c>
      <c r="I13" s="711"/>
      <c r="J13" s="114"/>
      <c r="K13" s="254"/>
      <c r="L13" s="634"/>
      <c r="M13" s="254"/>
      <c r="N13" s="25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496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</row>
    <row r="14" spans="1:60" s="675" customFormat="1" ht="18.75" customHeight="1">
      <c r="A14" s="678" t="s">
        <v>114</v>
      </c>
      <c r="B14" s="188">
        <f>B15+B16+B17+B18+B19+B20</f>
        <v>132</v>
      </c>
      <c r="C14" s="188">
        <f>C15+C16+C17+C18+C19+C20</f>
        <v>120</v>
      </c>
      <c r="D14" s="188">
        <f>D15+D16+D17+D18+D19+D20</f>
        <v>125</v>
      </c>
      <c r="E14" s="188">
        <f>E15+E16+E17+E18+E19+E20</f>
        <v>129</v>
      </c>
      <c r="F14" s="824">
        <f>E14/D14*100</f>
        <v>103.2</v>
      </c>
      <c r="G14" s="824"/>
      <c r="H14" s="824">
        <f>E14/B14*100</f>
        <v>97.727272727272734</v>
      </c>
      <c r="I14" s="824"/>
      <c r="J14" s="114"/>
      <c r="K14" s="254"/>
      <c r="L14" s="254"/>
      <c r="M14" s="254"/>
      <c r="N14" s="254"/>
      <c r="O14" s="254"/>
      <c r="P14" s="635"/>
      <c r="Q14" s="635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</row>
    <row r="15" spans="1:60" s="675" customFormat="1" ht="18.75" customHeight="1">
      <c r="A15" s="8" t="s">
        <v>217</v>
      </c>
      <c r="B15" s="484">
        <f>6+10</f>
        <v>16</v>
      </c>
      <c r="C15" s="484">
        <v>6</v>
      </c>
      <c r="D15" s="484">
        <f>6+4</f>
        <v>10</v>
      </c>
      <c r="E15" s="484">
        <v>10</v>
      </c>
      <c r="F15" s="824">
        <f t="shared" ref="F15:F36" si="0">E15/D15*100</f>
        <v>100</v>
      </c>
      <c r="G15" s="824"/>
      <c r="H15" s="824">
        <f t="shared" ref="H15:H36" si="1">E15/B15*100</f>
        <v>62.5</v>
      </c>
      <c r="I15" s="824"/>
      <c r="J15" s="636"/>
      <c r="K15" s="254"/>
      <c r="L15" s="637"/>
      <c r="M15" s="254"/>
      <c r="N15" s="254"/>
      <c r="O15" s="254"/>
      <c r="P15" s="635"/>
      <c r="Q15" s="635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</row>
    <row r="16" spans="1:60" s="675" customFormat="1" ht="18.75" customHeight="1">
      <c r="A16" s="8" t="s">
        <v>218</v>
      </c>
      <c r="B16" s="484">
        <f>37-10</f>
        <v>27</v>
      </c>
      <c r="C16" s="484">
        <v>37</v>
      </c>
      <c r="D16" s="484">
        <f>39-4-5</f>
        <v>30</v>
      </c>
      <c r="E16" s="484">
        <v>32</v>
      </c>
      <c r="F16" s="824">
        <f t="shared" si="0"/>
        <v>106.66666666666667</v>
      </c>
      <c r="G16" s="824"/>
      <c r="H16" s="824">
        <f t="shared" si="1"/>
        <v>118.5185185185185</v>
      </c>
      <c r="I16" s="824"/>
      <c r="J16" s="636"/>
      <c r="K16" s="114"/>
      <c r="L16" s="632"/>
      <c r="M16" s="114"/>
      <c r="N16" s="114"/>
      <c r="O16" s="114"/>
      <c r="P16" s="114"/>
      <c r="Q16" s="272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660"/>
      <c r="AG16" s="660"/>
      <c r="AH16" s="660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</row>
    <row r="17" spans="1:60" s="675" customFormat="1" ht="18.75" customHeight="1">
      <c r="A17" s="8" t="s">
        <v>219</v>
      </c>
      <c r="B17" s="484">
        <f>61+3</f>
        <v>64</v>
      </c>
      <c r="C17" s="484">
        <v>60</v>
      </c>
      <c r="D17" s="484">
        <f>61+5</f>
        <v>66</v>
      </c>
      <c r="E17" s="484">
        <v>68</v>
      </c>
      <c r="F17" s="824">
        <f t="shared" si="0"/>
        <v>103.03030303030303</v>
      </c>
      <c r="G17" s="824"/>
      <c r="H17" s="824">
        <f t="shared" si="1"/>
        <v>106.25</v>
      </c>
      <c r="I17" s="824"/>
      <c r="J17" s="636"/>
      <c r="K17" s="114"/>
      <c r="L17" s="632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577"/>
      <c r="AG17" s="592"/>
      <c r="AH17" s="661"/>
      <c r="AI17" s="661"/>
      <c r="AJ17" s="661"/>
      <c r="AK17" s="661"/>
      <c r="AL17" s="661"/>
      <c r="AM17" s="661"/>
      <c r="AN17" s="661"/>
      <c r="AO17" s="661"/>
      <c r="AP17" s="661"/>
      <c r="AQ17" s="661"/>
      <c r="AR17" s="661"/>
      <c r="AS17" s="661"/>
      <c r="AT17" s="661"/>
      <c r="AU17" s="661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</row>
    <row r="18" spans="1:60" s="675" customFormat="1" ht="18.75" customHeight="1">
      <c r="A18" s="8" t="s">
        <v>220</v>
      </c>
      <c r="B18" s="484">
        <v>8</v>
      </c>
      <c r="C18" s="484">
        <v>8</v>
      </c>
      <c r="D18" s="484">
        <v>9</v>
      </c>
      <c r="E18" s="484">
        <v>9</v>
      </c>
      <c r="F18" s="824">
        <f t="shared" si="0"/>
        <v>100</v>
      </c>
      <c r="G18" s="824"/>
      <c r="H18" s="824">
        <f t="shared" si="1"/>
        <v>112.5</v>
      </c>
      <c r="I18" s="824"/>
      <c r="J18" s="636"/>
      <c r="K18" s="114"/>
      <c r="L18" s="632"/>
      <c r="M18" s="254"/>
      <c r="N18" s="114"/>
      <c r="O18" s="114"/>
      <c r="P18" s="635"/>
      <c r="Q18" s="638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577"/>
      <c r="AG18" s="592"/>
      <c r="AH18" s="573"/>
      <c r="AI18" s="573"/>
      <c r="AJ18" s="573"/>
      <c r="AK18" s="573"/>
      <c r="AL18" s="573"/>
      <c r="AM18" s="573"/>
      <c r="AN18" s="573"/>
      <c r="AO18" s="573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</row>
    <row r="19" spans="1:60" s="675" customFormat="1" ht="18.75" customHeight="1">
      <c r="A19" s="8" t="s">
        <v>221</v>
      </c>
      <c r="B19" s="484">
        <v>12</v>
      </c>
      <c r="C19" s="484">
        <v>9</v>
      </c>
      <c r="D19" s="484">
        <v>8</v>
      </c>
      <c r="E19" s="484">
        <v>8</v>
      </c>
      <c r="F19" s="824">
        <f t="shared" si="0"/>
        <v>100</v>
      </c>
      <c r="G19" s="824"/>
      <c r="H19" s="824">
        <f t="shared" si="1"/>
        <v>66.666666666666657</v>
      </c>
      <c r="I19" s="824"/>
      <c r="J19" s="636"/>
      <c r="K19" s="639"/>
      <c r="L19" s="640"/>
      <c r="M19" s="639"/>
      <c r="N19" s="639"/>
      <c r="O19" s="639"/>
      <c r="P19" s="639"/>
      <c r="Q19" s="641"/>
      <c r="R19" s="639"/>
      <c r="S19" s="639"/>
      <c r="T19" s="639"/>
      <c r="U19" s="639"/>
      <c r="V19" s="639"/>
      <c r="W19" s="639"/>
      <c r="X19" s="639"/>
      <c r="Y19" s="639"/>
      <c r="Z19" s="114"/>
      <c r="AA19" s="114"/>
      <c r="AB19" s="114"/>
      <c r="AC19" s="114"/>
      <c r="AD19" s="114"/>
      <c r="AE19" s="114"/>
      <c r="AF19" s="577"/>
      <c r="AG19" s="662"/>
      <c r="AH19" s="573"/>
      <c r="AI19" s="573"/>
      <c r="AJ19" s="573"/>
      <c r="AK19" s="573"/>
      <c r="AL19" s="573"/>
      <c r="AM19" s="573"/>
      <c r="AN19" s="573"/>
      <c r="AO19" s="573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</row>
    <row r="20" spans="1:60" s="675" customFormat="1" ht="18.75" customHeight="1">
      <c r="A20" s="8" t="s">
        <v>222</v>
      </c>
      <c r="B20" s="484">
        <v>5</v>
      </c>
      <c r="C20" s="484"/>
      <c r="D20" s="484">
        <v>2</v>
      </c>
      <c r="E20" s="484">
        <v>2</v>
      </c>
      <c r="F20" s="824">
        <f t="shared" si="0"/>
        <v>100</v>
      </c>
      <c r="G20" s="824"/>
      <c r="H20" s="824">
        <f t="shared" si="1"/>
        <v>40</v>
      </c>
      <c r="I20" s="824"/>
      <c r="J20" s="636"/>
      <c r="K20" s="486"/>
      <c r="L20" s="640"/>
      <c r="M20" s="639"/>
      <c r="N20" s="639"/>
      <c r="O20" s="639"/>
      <c r="P20" s="639"/>
      <c r="Q20" s="641"/>
      <c r="R20" s="636"/>
      <c r="S20" s="486"/>
      <c r="T20" s="639"/>
      <c r="U20" s="635"/>
      <c r="V20" s="573"/>
      <c r="W20" s="639"/>
      <c r="X20" s="639"/>
      <c r="Y20" s="639"/>
      <c r="Z20" s="114"/>
      <c r="AA20" s="114"/>
      <c r="AB20" s="114"/>
      <c r="AC20" s="114"/>
      <c r="AD20" s="114"/>
      <c r="AE20" s="114"/>
      <c r="AF20" s="577"/>
      <c r="AG20" s="663"/>
      <c r="AH20" s="573"/>
      <c r="AI20" s="573"/>
      <c r="AJ20" s="573"/>
      <c r="AK20" s="573"/>
      <c r="AL20" s="573"/>
      <c r="AM20" s="573"/>
      <c r="AN20" s="573"/>
      <c r="AO20" s="573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</row>
    <row r="21" spans="1:60" s="675" customFormat="1" ht="18.75" customHeight="1">
      <c r="A21" s="678" t="s">
        <v>202</v>
      </c>
      <c r="B21" s="188">
        <f>B22+B23+B24</f>
        <v>13765.5</v>
      </c>
      <c r="C21" s="485">
        <f>C22+C23+C24</f>
        <v>26158.799999999999</v>
      </c>
      <c r="D21" s="188">
        <f>D22+D23+D24</f>
        <v>22463.1</v>
      </c>
      <c r="E21" s="188">
        <f>E22+E23+E24</f>
        <v>24579.100000000002</v>
      </c>
      <c r="F21" s="824">
        <f t="shared" si="0"/>
        <v>109.41989306907776</v>
      </c>
      <c r="G21" s="824"/>
      <c r="H21" s="824">
        <f t="shared" si="1"/>
        <v>178.55580981439107</v>
      </c>
      <c r="I21" s="824"/>
      <c r="J21" s="642"/>
      <c r="K21" s="639"/>
      <c r="L21" s="639"/>
      <c r="M21" s="639"/>
      <c r="N21" s="639"/>
      <c r="O21" s="643"/>
      <c r="P21" s="644"/>
      <c r="Q21" s="645"/>
      <c r="R21" s="592"/>
      <c r="S21" s="639"/>
      <c r="T21" s="639"/>
      <c r="U21" s="635"/>
      <c r="V21" s="573"/>
      <c r="W21" s="639"/>
      <c r="X21" s="639"/>
      <c r="Y21" s="639"/>
      <c r="Z21" s="114"/>
      <c r="AA21" s="114"/>
      <c r="AB21" s="114"/>
      <c r="AC21" s="114"/>
      <c r="AD21" s="114"/>
      <c r="AE21" s="114"/>
      <c r="AF21" s="577"/>
      <c r="AG21" s="663"/>
      <c r="AH21" s="662"/>
      <c r="AI21" s="573"/>
      <c r="AJ21" s="573"/>
      <c r="AK21" s="573"/>
      <c r="AL21" s="573"/>
      <c r="AM21" s="573"/>
      <c r="AN21" s="573"/>
      <c r="AO21" s="573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</row>
    <row r="22" spans="1:60" s="675" customFormat="1" ht="18.75" customHeight="1">
      <c r="A22" s="8" t="s">
        <v>193</v>
      </c>
      <c r="B22" s="483">
        <v>262.2</v>
      </c>
      <c r="C22" s="483">
        <f>217.8+125</f>
        <v>342.8</v>
      </c>
      <c r="D22" s="484">
        <v>408.9</v>
      </c>
      <c r="E22" s="484">
        <f>447.4</f>
        <v>447.4</v>
      </c>
      <c r="F22" s="824">
        <f t="shared" si="0"/>
        <v>109.41550501345073</v>
      </c>
      <c r="G22" s="824"/>
      <c r="H22" s="824">
        <f t="shared" si="1"/>
        <v>170.63310450038139</v>
      </c>
      <c r="I22" s="824"/>
      <c r="J22" s="635"/>
      <c r="K22" s="639"/>
      <c r="L22" s="643"/>
      <c r="M22" s="644"/>
      <c r="N22" s="639"/>
      <c r="O22" s="643"/>
      <c r="P22" s="639"/>
      <c r="Q22" s="645"/>
      <c r="R22" s="635"/>
      <c r="S22" s="639"/>
      <c r="T22" s="644"/>
      <c r="U22" s="635"/>
      <c r="V22" s="646"/>
      <c r="W22" s="639"/>
      <c r="X22" s="639"/>
      <c r="Y22" s="639"/>
      <c r="Z22" s="114"/>
      <c r="AA22" s="114"/>
      <c r="AB22" s="114"/>
      <c r="AC22" s="114"/>
      <c r="AD22" s="114"/>
      <c r="AE22" s="114"/>
      <c r="AF22" s="577"/>
      <c r="AG22" s="663"/>
      <c r="AH22" s="662"/>
      <c r="AI22" s="662"/>
      <c r="AJ22" s="662"/>
      <c r="AK22" s="662"/>
      <c r="AL22" s="573"/>
      <c r="AM22" s="573"/>
      <c r="AN22" s="573"/>
      <c r="AO22" s="573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</row>
    <row r="23" spans="1:60" s="675" customFormat="1" ht="18.75" customHeight="1">
      <c r="A23" s="8" t="s">
        <v>204</v>
      </c>
      <c r="B23" s="483">
        <v>1062.9000000000001</v>
      </c>
      <c r="C23" s="483">
        <f>978+230</f>
        <v>1208</v>
      </c>
      <c r="D23" s="484">
        <v>1625.2</v>
      </c>
      <c r="E23" s="484">
        <v>1778.3</v>
      </c>
      <c r="F23" s="824">
        <f t="shared" si="0"/>
        <v>109.4203790302732</v>
      </c>
      <c r="G23" s="824"/>
      <c r="H23" s="824">
        <f t="shared" si="1"/>
        <v>167.30642581616331</v>
      </c>
      <c r="I23" s="824"/>
      <c r="J23" s="635"/>
      <c r="K23" s="639"/>
      <c r="L23" s="643"/>
      <c r="M23" s="644"/>
      <c r="N23" s="639"/>
      <c r="O23" s="643"/>
      <c r="P23" s="639"/>
      <c r="Q23" s="645"/>
      <c r="R23" s="635"/>
      <c r="S23" s="639"/>
      <c r="T23" s="644"/>
      <c r="U23" s="635"/>
      <c r="V23" s="254"/>
      <c r="W23" s="639"/>
      <c r="X23" s="639"/>
      <c r="Y23" s="639"/>
      <c r="Z23" s="114"/>
      <c r="AA23" s="114"/>
      <c r="AB23" s="114"/>
      <c r="AC23" s="114"/>
      <c r="AD23" s="114"/>
      <c r="AE23" s="114"/>
      <c r="AF23" s="577"/>
      <c r="AG23" s="663"/>
      <c r="AH23" s="662"/>
      <c r="AI23" s="573"/>
      <c r="AJ23" s="573"/>
      <c r="AK23" s="573"/>
      <c r="AL23" s="573"/>
      <c r="AM23" s="573"/>
      <c r="AN23" s="573"/>
      <c r="AO23" s="573"/>
      <c r="AP23" s="114"/>
      <c r="AQ23" s="114"/>
      <c r="AR23" s="114"/>
      <c r="AS23" s="114"/>
      <c r="AT23" s="114"/>
      <c r="AU23" s="114"/>
      <c r="AV23" s="114"/>
      <c r="AW23" s="664"/>
      <c r="AX23" s="66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</row>
    <row r="24" spans="1:60" s="675" customFormat="1" ht="18.75" customHeight="1">
      <c r="A24" s="8" t="s">
        <v>194</v>
      </c>
      <c r="B24" s="483">
        <f>13765.5-B22-B23</f>
        <v>12440.4</v>
      </c>
      <c r="C24" s="483">
        <f>26158.8-C23-C22</f>
        <v>24608</v>
      </c>
      <c r="D24" s="484">
        <v>20429</v>
      </c>
      <c r="E24" s="484">
        <v>22353.4</v>
      </c>
      <c r="F24" s="824">
        <f t="shared" si="0"/>
        <v>109.41994223897402</v>
      </c>
      <c r="G24" s="824"/>
      <c r="H24" s="824">
        <f t="shared" si="1"/>
        <v>179.68393299250829</v>
      </c>
      <c r="I24" s="824"/>
      <c r="J24" s="592"/>
      <c r="K24" s="639"/>
      <c r="L24" s="647"/>
      <c r="M24" s="639"/>
      <c r="N24" s="639"/>
      <c r="O24" s="643"/>
      <c r="P24" s="639"/>
      <c r="Q24" s="645"/>
      <c r="R24" s="592"/>
      <c r="S24" s="639"/>
      <c r="T24" s="639"/>
      <c r="U24" s="635"/>
      <c r="V24" s="254"/>
      <c r="W24" s="639"/>
      <c r="X24" s="639"/>
      <c r="Y24" s="639"/>
      <c r="Z24" s="114"/>
      <c r="AA24" s="114"/>
      <c r="AB24" s="114"/>
      <c r="AC24" s="114"/>
      <c r="AD24" s="114"/>
      <c r="AE24" s="114"/>
      <c r="AF24" s="577"/>
      <c r="AG24" s="663"/>
      <c r="AH24" s="573"/>
      <c r="AI24" s="592"/>
      <c r="AJ24" s="592"/>
      <c r="AK24" s="573"/>
      <c r="AL24" s="573"/>
      <c r="AM24" s="573"/>
      <c r="AN24" s="573"/>
      <c r="AO24" s="573"/>
      <c r="AP24" s="592"/>
      <c r="AQ24" s="592"/>
      <c r="AR24" s="573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</row>
    <row r="25" spans="1:60" s="675" customFormat="1" ht="18.75" customHeight="1">
      <c r="A25" s="678" t="s">
        <v>203</v>
      </c>
      <c r="B25" s="188">
        <f>B26+B27+B28</f>
        <v>16349.7</v>
      </c>
      <c r="C25" s="188">
        <f>C26+C27+C28</f>
        <v>31118.5</v>
      </c>
      <c r="D25" s="188">
        <f>D26+D27+D28</f>
        <v>26723.7</v>
      </c>
      <c r="E25" s="485">
        <f>E26+E27+E28</f>
        <v>29241</v>
      </c>
      <c r="F25" s="824">
        <f t="shared" si="0"/>
        <v>109.41972855555181</v>
      </c>
      <c r="G25" s="824"/>
      <c r="H25" s="824">
        <f t="shared" si="1"/>
        <v>178.84731829941833</v>
      </c>
      <c r="I25" s="824"/>
      <c r="J25" s="592"/>
      <c r="K25" s="639"/>
      <c r="L25" s="648"/>
      <c r="M25" s="639"/>
      <c r="N25" s="639"/>
      <c r="O25" s="639"/>
      <c r="P25" s="639"/>
      <c r="Q25" s="645"/>
      <c r="R25" s="592"/>
      <c r="S25" s="639"/>
      <c r="T25" s="639"/>
      <c r="U25" s="635"/>
      <c r="V25" s="254"/>
      <c r="W25" s="639"/>
      <c r="X25" s="639"/>
      <c r="Y25" s="639"/>
      <c r="Z25" s="114"/>
      <c r="AA25" s="114"/>
      <c r="AB25" s="114"/>
      <c r="AC25" s="114"/>
      <c r="AD25" s="114"/>
      <c r="AE25" s="114"/>
      <c r="AF25" s="577"/>
      <c r="AG25" s="663"/>
      <c r="AH25" s="573"/>
      <c r="AI25" s="573"/>
      <c r="AJ25" s="573"/>
      <c r="AK25" s="646"/>
      <c r="AL25" s="573"/>
      <c r="AM25" s="573"/>
      <c r="AN25" s="573"/>
      <c r="AO25" s="573"/>
      <c r="AP25" s="573"/>
      <c r="AQ25" s="573"/>
      <c r="AR25" s="646"/>
      <c r="AS25" s="114"/>
      <c r="AT25" s="573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</row>
    <row r="26" spans="1:60" s="675" customFormat="1" ht="18.75" customHeight="1">
      <c r="A26" s="8" t="s">
        <v>193</v>
      </c>
      <c r="B26" s="483">
        <f>B22+49.2</f>
        <v>311.39999999999998</v>
      </c>
      <c r="C26" s="483">
        <f>C22+75.4</f>
        <v>418.20000000000005</v>
      </c>
      <c r="D26" s="483">
        <f>D22+74.9</f>
        <v>483.79999999999995</v>
      </c>
      <c r="E26" s="483">
        <f>E22+81.9</f>
        <v>529.29999999999995</v>
      </c>
      <c r="F26" s="824">
        <f t="shared" si="0"/>
        <v>109.40471269119472</v>
      </c>
      <c r="G26" s="824"/>
      <c r="H26" s="824">
        <f t="shared" si="1"/>
        <v>169.97430956968529</v>
      </c>
      <c r="I26" s="824"/>
      <c r="J26" s="636"/>
      <c r="K26" s="486"/>
      <c r="L26" s="640"/>
      <c r="M26" s="639"/>
      <c r="N26" s="639"/>
      <c r="O26" s="643"/>
      <c r="P26" s="644"/>
      <c r="Q26" s="645"/>
      <c r="R26" s="636"/>
      <c r="S26" s="486"/>
      <c r="T26" s="639"/>
      <c r="U26" s="635"/>
      <c r="V26" s="254"/>
      <c r="W26" s="639"/>
      <c r="X26" s="639"/>
      <c r="Y26" s="639"/>
      <c r="Z26" s="114"/>
      <c r="AA26" s="114"/>
      <c r="AB26" s="114"/>
      <c r="AC26" s="114"/>
      <c r="AD26" s="114"/>
      <c r="AE26" s="114"/>
      <c r="AF26" s="638"/>
      <c r="AG26" s="638"/>
      <c r="AH26" s="573"/>
      <c r="AI26" s="573"/>
      <c r="AJ26" s="573"/>
      <c r="AK26" s="646"/>
      <c r="AL26" s="114"/>
      <c r="AM26" s="114"/>
      <c r="AN26" s="114"/>
      <c r="AO26" s="573"/>
      <c r="AP26" s="573"/>
      <c r="AQ26" s="573"/>
      <c r="AR26" s="646"/>
      <c r="AS26" s="114"/>
      <c r="AT26" s="573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</row>
    <row r="27" spans="1:60" s="675" customFormat="1" ht="18.75" customHeight="1">
      <c r="A27" s="8" t="s">
        <v>204</v>
      </c>
      <c r="B27" s="483">
        <f>B23+199.5</f>
        <v>1262.4000000000001</v>
      </c>
      <c r="C27" s="483">
        <f>C23+235.6</f>
        <v>1443.6</v>
      </c>
      <c r="D27" s="483">
        <f>D23+297.5</f>
        <v>1922.7</v>
      </c>
      <c r="E27" s="483">
        <f>E23+325.5</f>
        <v>2103.8000000000002</v>
      </c>
      <c r="F27" s="824">
        <f t="shared" si="0"/>
        <v>109.41904613304207</v>
      </c>
      <c r="G27" s="824"/>
      <c r="H27" s="824">
        <f t="shared" si="1"/>
        <v>166.65082382762992</v>
      </c>
      <c r="I27" s="824"/>
      <c r="J27" s="642"/>
      <c r="K27" s="639"/>
      <c r="L27" s="639"/>
      <c r="M27" s="639"/>
      <c r="N27" s="639"/>
      <c r="O27" s="643"/>
      <c r="P27" s="639"/>
      <c r="Q27" s="645"/>
      <c r="R27" s="592"/>
      <c r="S27" s="639"/>
      <c r="T27" s="643"/>
      <c r="U27" s="635"/>
      <c r="V27" s="573"/>
      <c r="W27" s="639"/>
      <c r="X27" s="639"/>
      <c r="Y27" s="639"/>
      <c r="Z27" s="114"/>
      <c r="AA27" s="114"/>
      <c r="AB27" s="114"/>
      <c r="AC27" s="114"/>
      <c r="AD27" s="114"/>
      <c r="AE27" s="114"/>
      <c r="AF27" s="665"/>
      <c r="AG27" s="665"/>
      <c r="AH27" s="573"/>
      <c r="AI27" s="573"/>
      <c r="AJ27" s="573"/>
      <c r="AK27" s="646"/>
      <c r="AL27" s="114"/>
      <c r="AM27" s="114"/>
      <c r="AN27" s="114"/>
      <c r="AO27" s="573"/>
      <c r="AP27" s="573"/>
      <c r="AQ27" s="573"/>
      <c r="AR27" s="646"/>
      <c r="AS27" s="114"/>
      <c r="AT27" s="573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</row>
    <row r="28" spans="1:60" s="675" customFormat="1" ht="18.75" customHeight="1">
      <c r="A28" s="8" t="s">
        <v>194</v>
      </c>
      <c r="B28" s="483">
        <f>B24+2335.5</f>
        <v>14775.9</v>
      </c>
      <c r="C28" s="483">
        <f>(4959.7-235.6-75.4)+C24</f>
        <v>29256.7</v>
      </c>
      <c r="D28" s="483">
        <f>D24+3888.2</f>
        <v>24317.200000000001</v>
      </c>
      <c r="E28" s="483">
        <f>E24+4254.5</f>
        <v>26607.9</v>
      </c>
      <c r="F28" s="824">
        <f t="shared" si="0"/>
        <v>109.42008125935551</v>
      </c>
      <c r="G28" s="824"/>
      <c r="H28" s="824">
        <f t="shared" si="1"/>
        <v>180.0763405274806</v>
      </c>
      <c r="I28" s="824"/>
      <c r="J28" s="635"/>
      <c r="K28" s="639"/>
      <c r="L28" s="643"/>
      <c r="M28" s="644"/>
      <c r="N28" s="639"/>
      <c r="O28" s="643"/>
      <c r="P28" s="639"/>
      <c r="Q28" s="645"/>
      <c r="R28" s="635"/>
      <c r="S28" s="639"/>
      <c r="T28" s="644"/>
      <c r="U28" s="635"/>
      <c r="V28" s="573"/>
      <c r="W28" s="639"/>
      <c r="X28" s="639"/>
      <c r="Y28" s="639"/>
      <c r="Z28" s="114"/>
      <c r="AA28" s="114"/>
      <c r="AB28" s="114"/>
      <c r="AC28" s="114"/>
      <c r="AD28" s="114"/>
      <c r="AE28" s="114"/>
      <c r="AF28" s="666"/>
      <c r="AG28" s="667"/>
      <c r="AH28" s="114"/>
      <c r="AI28" s="114"/>
      <c r="AJ28" s="114"/>
      <c r="AK28" s="254"/>
      <c r="AL28" s="573"/>
      <c r="AM28" s="114"/>
      <c r="AN28" s="114"/>
      <c r="AO28" s="114"/>
      <c r="AP28" s="114"/>
      <c r="AQ28" s="114"/>
      <c r="AR28" s="114"/>
      <c r="AS28" s="646"/>
      <c r="AT28" s="646"/>
      <c r="AU28" s="25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</row>
    <row r="29" spans="1:60" s="675" customFormat="1" ht="18.75" customHeight="1">
      <c r="A29" s="678" t="s">
        <v>223</v>
      </c>
      <c r="B29" s="340">
        <f>B21/B14/12*1000</f>
        <v>8690.3409090909081</v>
      </c>
      <c r="C29" s="340">
        <f>C21/C14/12*1000</f>
        <v>18165.833333333332</v>
      </c>
      <c r="D29" s="340">
        <f t="shared" ref="D29:E29" si="2">D21/D14/12*1000</f>
        <v>14975.399999999998</v>
      </c>
      <c r="E29" s="340">
        <f t="shared" si="2"/>
        <v>15877.97157622739</v>
      </c>
      <c r="F29" s="824">
        <f t="shared" si="0"/>
        <v>106.02702816771099</v>
      </c>
      <c r="G29" s="824"/>
      <c r="H29" s="824">
        <f t="shared" si="1"/>
        <v>182.70827050774901</v>
      </c>
      <c r="I29" s="824"/>
      <c r="J29" s="635"/>
      <c r="K29" s="639"/>
      <c r="L29" s="643"/>
      <c r="M29" s="644"/>
      <c r="N29" s="639"/>
      <c r="O29" s="643"/>
      <c r="P29" s="639"/>
      <c r="Q29" s="645"/>
      <c r="R29" s="635"/>
      <c r="S29" s="639"/>
      <c r="T29" s="644"/>
      <c r="U29" s="635"/>
      <c r="V29" s="573"/>
      <c r="W29" s="639"/>
      <c r="X29" s="639"/>
      <c r="Y29" s="639"/>
      <c r="Z29" s="114"/>
      <c r="AA29" s="114"/>
      <c r="AB29" s="114"/>
      <c r="AC29" s="114"/>
      <c r="AD29" s="114"/>
      <c r="AE29" s="114"/>
      <c r="AF29" s="666"/>
      <c r="AG29" s="667"/>
      <c r="AH29" s="114"/>
      <c r="AI29" s="114"/>
      <c r="AJ29" s="114"/>
      <c r="AK29" s="114"/>
      <c r="AL29" s="114"/>
      <c r="AM29" s="254"/>
      <c r="AN29" s="114"/>
      <c r="AO29" s="114"/>
      <c r="AP29" s="573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</row>
    <row r="30" spans="1:60" s="675" customFormat="1" ht="18.75" customHeight="1">
      <c r="A30" s="8" t="s">
        <v>193</v>
      </c>
      <c r="B30" s="189">
        <f>B22/1/12*1000</f>
        <v>21849.999999999996</v>
      </c>
      <c r="C30" s="189">
        <f t="shared" ref="C30:E30" si="3">C22/1/12*1000</f>
        <v>28566.666666666668</v>
      </c>
      <c r="D30" s="189">
        <f t="shared" si="3"/>
        <v>34074.999999999993</v>
      </c>
      <c r="E30" s="189">
        <f t="shared" si="3"/>
        <v>37283.333333333328</v>
      </c>
      <c r="F30" s="824">
        <f t="shared" si="0"/>
        <v>109.41550501345073</v>
      </c>
      <c r="G30" s="824"/>
      <c r="H30" s="824">
        <f t="shared" si="1"/>
        <v>170.63310450038139</v>
      </c>
      <c r="I30" s="824"/>
      <c r="J30" s="592"/>
      <c r="K30" s="639"/>
      <c r="L30" s="647"/>
      <c r="M30" s="639"/>
      <c r="N30" s="639"/>
      <c r="O30" s="639"/>
      <c r="P30" s="639"/>
      <c r="Q30" s="639"/>
      <c r="R30" s="114"/>
      <c r="S30" s="639"/>
      <c r="T30" s="639"/>
      <c r="U30" s="639"/>
      <c r="V30" s="646"/>
      <c r="W30" s="639"/>
      <c r="X30" s="639"/>
      <c r="Y30" s="639"/>
      <c r="Z30" s="114"/>
      <c r="AA30" s="114"/>
      <c r="AB30" s="114"/>
      <c r="AC30" s="114"/>
      <c r="AD30" s="114"/>
      <c r="AE30" s="114"/>
      <c r="AF30" s="666"/>
      <c r="AG30" s="666"/>
      <c r="AH30" s="668"/>
      <c r="AI30" s="668"/>
      <c r="AJ30" s="668"/>
      <c r="AK30" s="114"/>
      <c r="AL30" s="114"/>
      <c r="AM30" s="646"/>
      <c r="AN30" s="573"/>
      <c r="AO30" s="638"/>
      <c r="AP30" s="573"/>
      <c r="AQ30" s="114"/>
      <c r="AR30" s="573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</row>
    <row r="31" spans="1:60" s="675" customFormat="1" ht="18.75" customHeight="1">
      <c r="A31" s="8" t="s">
        <v>204</v>
      </c>
      <c r="B31" s="189">
        <f>B23/5/12*1000</f>
        <v>17715</v>
      </c>
      <c r="C31" s="189">
        <f t="shared" ref="C31:E31" si="4">C23/5/12*1000</f>
        <v>20133.333333333332</v>
      </c>
      <c r="D31" s="189">
        <f t="shared" si="4"/>
        <v>27086.666666666668</v>
      </c>
      <c r="E31" s="189">
        <f t="shared" si="4"/>
        <v>29638.333333333332</v>
      </c>
      <c r="F31" s="824">
        <f t="shared" si="0"/>
        <v>109.4203790302732</v>
      </c>
      <c r="G31" s="824"/>
      <c r="H31" s="824">
        <f t="shared" si="1"/>
        <v>167.30642581616334</v>
      </c>
      <c r="I31" s="824"/>
      <c r="J31" s="601"/>
      <c r="K31" s="649"/>
      <c r="L31" s="650"/>
      <c r="M31" s="639"/>
      <c r="N31" s="639"/>
      <c r="O31" s="639"/>
      <c r="P31" s="639"/>
      <c r="Q31" s="639"/>
      <c r="R31" s="601"/>
      <c r="S31" s="649"/>
      <c r="T31" s="639"/>
      <c r="U31" s="639"/>
      <c r="V31" s="254"/>
      <c r="W31" s="639"/>
      <c r="X31" s="639"/>
      <c r="Y31" s="639"/>
      <c r="Z31" s="114"/>
      <c r="AA31" s="114"/>
      <c r="AB31" s="114"/>
      <c r="AC31" s="114"/>
      <c r="AD31" s="114"/>
      <c r="AE31" s="114"/>
      <c r="AF31" s="669"/>
      <c r="AG31" s="670"/>
      <c r="AH31" s="114"/>
      <c r="AI31" s="573"/>
      <c r="AJ31" s="573"/>
      <c r="AK31" s="573"/>
      <c r="AL31" s="114"/>
      <c r="AM31" s="646"/>
      <c r="AN31" s="573"/>
      <c r="AO31" s="114"/>
      <c r="AP31" s="114"/>
      <c r="AQ31" s="114"/>
      <c r="AR31" s="646"/>
      <c r="AS31" s="114"/>
      <c r="AT31" s="573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</row>
    <row r="32" spans="1:60" s="675" customFormat="1" ht="18.75" customHeight="1">
      <c r="A32" s="8" t="s">
        <v>194</v>
      </c>
      <c r="B32" s="189">
        <f>B24/(B14-6)/12*1000</f>
        <v>8227.7777777777774</v>
      </c>
      <c r="C32" s="189">
        <f t="shared" ref="C32:D32" si="5">C24/(C14-6)/12*1000</f>
        <v>17988.304093567251</v>
      </c>
      <c r="D32" s="189">
        <f t="shared" si="5"/>
        <v>14306.022408963585</v>
      </c>
      <c r="E32" s="189">
        <f>E24/(E14-6)/12*1000</f>
        <v>15144.579945799458</v>
      </c>
      <c r="F32" s="824">
        <f t="shared" si="0"/>
        <v>105.86157013364152</v>
      </c>
      <c r="G32" s="824"/>
      <c r="H32" s="824">
        <f t="shared" si="1"/>
        <v>184.06646794354509</v>
      </c>
      <c r="I32" s="824"/>
      <c r="J32" s="636"/>
      <c r="K32" s="486"/>
      <c r="L32" s="640"/>
      <c r="M32" s="639"/>
      <c r="N32" s="639"/>
      <c r="O32" s="639"/>
      <c r="P32" s="639"/>
      <c r="Q32" s="639"/>
      <c r="R32" s="636"/>
      <c r="S32" s="486"/>
      <c r="T32" s="639"/>
      <c r="U32" s="639"/>
      <c r="V32" s="114"/>
      <c r="W32" s="639"/>
      <c r="X32" s="639"/>
      <c r="Y32" s="639"/>
      <c r="Z32" s="114"/>
      <c r="AA32" s="114"/>
      <c r="AB32" s="114"/>
      <c r="AC32" s="114"/>
      <c r="AD32" s="114"/>
      <c r="AE32" s="114"/>
      <c r="AF32" s="577"/>
      <c r="AG32" s="671"/>
      <c r="AH32" s="114"/>
      <c r="AI32" s="573"/>
      <c r="AJ32" s="573"/>
      <c r="AK32" s="573"/>
      <c r="AL32" s="114"/>
      <c r="AM32" s="646"/>
      <c r="AN32" s="573"/>
      <c r="AO32" s="114"/>
      <c r="AP32" s="114"/>
      <c r="AQ32" s="114"/>
      <c r="AR32" s="646"/>
      <c r="AS32" s="114"/>
      <c r="AT32" s="573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</row>
    <row r="33" spans="1:60" s="675" customFormat="1" ht="18.75" customHeight="1">
      <c r="A33" s="678" t="s">
        <v>224</v>
      </c>
      <c r="B33" s="188"/>
      <c r="C33" s="188"/>
      <c r="D33" s="188"/>
      <c r="E33" s="188"/>
      <c r="F33" s="825" t="e">
        <f t="shared" si="0"/>
        <v>#DIV/0!</v>
      </c>
      <c r="G33" s="825"/>
      <c r="H33" s="825" t="e">
        <f t="shared" si="1"/>
        <v>#DIV/0!</v>
      </c>
      <c r="I33" s="825"/>
      <c r="J33" s="642"/>
      <c r="K33" s="639"/>
      <c r="L33" s="639"/>
      <c r="M33" s="639"/>
      <c r="N33" s="639"/>
      <c r="O33" s="639"/>
      <c r="P33" s="639"/>
      <c r="Q33" s="639"/>
      <c r="R33" s="592"/>
      <c r="S33" s="639"/>
      <c r="T33" s="639"/>
      <c r="U33" s="639"/>
      <c r="V33" s="114"/>
      <c r="W33" s="639"/>
      <c r="X33" s="639"/>
      <c r="Y33" s="639"/>
      <c r="Z33" s="114"/>
      <c r="AA33" s="114"/>
      <c r="AB33" s="114"/>
      <c r="AC33" s="114"/>
      <c r="AD33" s="114"/>
      <c r="AE33" s="114"/>
      <c r="AF33" s="577"/>
      <c r="AG33" s="671"/>
      <c r="AH33" s="114"/>
      <c r="AI33" s="573"/>
      <c r="AJ33" s="573"/>
      <c r="AK33" s="573"/>
      <c r="AL33" s="114"/>
      <c r="AM33" s="646"/>
      <c r="AN33" s="573"/>
      <c r="AO33" s="114"/>
      <c r="AP33" s="114"/>
      <c r="AQ33" s="114"/>
      <c r="AR33" s="646"/>
      <c r="AS33" s="114"/>
      <c r="AT33" s="573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</row>
    <row r="34" spans="1:60" s="675" customFormat="1" ht="18.75" customHeight="1">
      <c r="A34" s="8" t="s">
        <v>193</v>
      </c>
      <c r="B34" s="190"/>
      <c r="C34" s="191"/>
      <c r="D34" s="190"/>
      <c r="E34" s="190"/>
      <c r="F34" s="825" t="e">
        <f t="shared" si="0"/>
        <v>#DIV/0!</v>
      </c>
      <c r="G34" s="825"/>
      <c r="H34" s="825" t="e">
        <f t="shared" si="1"/>
        <v>#DIV/0!</v>
      </c>
      <c r="I34" s="825"/>
      <c r="J34" s="635"/>
      <c r="K34" s="639"/>
      <c r="L34" s="651"/>
      <c r="M34" s="644"/>
      <c r="N34" s="639"/>
      <c r="O34" s="652"/>
      <c r="P34" s="652"/>
      <c r="Q34" s="639"/>
      <c r="R34" s="635"/>
      <c r="S34" s="651"/>
      <c r="T34" s="644"/>
      <c r="U34" s="639"/>
      <c r="V34" s="114"/>
      <c r="W34" s="639"/>
      <c r="X34" s="639"/>
      <c r="Y34" s="639"/>
      <c r="Z34" s="114"/>
      <c r="AA34" s="114"/>
      <c r="AB34" s="114"/>
      <c r="AC34" s="114"/>
      <c r="AD34" s="114"/>
      <c r="AE34" s="114"/>
      <c r="AF34" s="577"/>
      <c r="AG34" s="671"/>
      <c r="AH34" s="114"/>
      <c r="AI34" s="114"/>
      <c r="AJ34" s="114"/>
      <c r="AK34" s="573"/>
      <c r="AL34" s="114"/>
      <c r="AM34" s="254"/>
      <c r="AN34" s="573"/>
      <c r="AO34" s="114"/>
      <c r="AP34" s="114"/>
      <c r="AQ34" s="114"/>
      <c r="AR34" s="114"/>
      <c r="AS34" s="646"/>
      <c r="AT34" s="646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</row>
    <row r="35" spans="1:60" s="675" customFormat="1" ht="18.75" customHeight="1">
      <c r="A35" s="8" t="s">
        <v>204</v>
      </c>
      <c r="B35" s="190"/>
      <c r="C35" s="190"/>
      <c r="D35" s="190"/>
      <c r="E35" s="190"/>
      <c r="F35" s="825" t="e">
        <f t="shared" si="0"/>
        <v>#DIV/0!</v>
      </c>
      <c r="G35" s="825"/>
      <c r="H35" s="825" t="e">
        <f t="shared" si="1"/>
        <v>#DIV/0!</v>
      </c>
      <c r="I35" s="825"/>
      <c r="J35" s="635"/>
      <c r="K35" s="639"/>
      <c r="L35" s="643"/>
      <c r="M35" s="644"/>
      <c r="N35" s="639"/>
      <c r="O35" s="652"/>
      <c r="P35" s="652"/>
      <c r="Q35" s="639"/>
      <c r="R35" s="635"/>
      <c r="S35" s="639"/>
      <c r="T35" s="644"/>
      <c r="U35" s="639"/>
      <c r="V35" s="114"/>
      <c r="W35" s="639"/>
      <c r="X35" s="639"/>
      <c r="Y35" s="639"/>
      <c r="Z35" s="114"/>
      <c r="AA35" s="114"/>
      <c r="AB35" s="114"/>
      <c r="AC35" s="114"/>
      <c r="AD35" s="114"/>
      <c r="AE35" s="114"/>
      <c r="AF35" s="577"/>
      <c r="AG35" s="671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</row>
    <row r="36" spans="1:60" s="675" customFormat="1" ht="18.75" customHeight="1">
      <c r="A36" s="8" t="s">
        <v>194</v>
      </c>
      <c r="B36" s="190"/>
      <c r="C36" s="190"/>
      <c r="D36" s="190"/>
      <c r="E36" s="190"/>
      <c r="F36" s="825" t="e">
        <f t="shared" si="0"/>
        <v>#DIV/0!</v>
      </c>
      <c r="G36" s="825"/>
      <c r="H36" s="825" t="e">
        <f t="shared" si="1"/>
        <v>#DIV/0!</v>
      </c>
      <c r="I36" s="825"/>
      <c r="J36" s="592"/>
      <c r="K36" s="639"/>
      <c r="L36" s="647"/>
      <c r="M36" s="639"/>
      <c r="N36" s="639"/>
      <c r="O36" s="652"/>
      <c r="P36" s="652"/>
      <c r="Q36" s="639"/>
      <c r="R36" s="114"/>
      <c r="S36" s="639"/>
      <c r="T36" s="647"/>
      <c r="U36" s="639"/>
      <c r="V36" s="639"/>
      <c r="W36" s="639"/>
      <c r="X36" s="639"/>
      <c r="Y36" s="639"/>
      <c r="Z36" s="114"/>
      <c r="AA36" s="114"/>
      <c r="AB36" s="114"/>
      <c r="AC36" s="114"/>
      <c r="AD36" s="114"/>
      <c r="AE36" s="114"/>
      <c r="AF36" s="577"/>
      <c r="AG36" s="671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573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</row>
    <row r="37" spans="1:60" ht="18.75" customHeight="1">
      <c r="A37" s="192"/>
      <c r="B37" s="192"/>
      <c r="C37" s="192"/>
      <c r="D37" s="192"/>
      <c r="E37" s="192"/>
      <c r="F37" s="20"/>
      <c r="G37" s="20"/>
      <c r="H37" s="20"/>
      <c r="I37" s="20"/>
      <c r="J37" s="653"/>
      <c r="K37" s="654"/>
      <c r="L37" s="654"/>
      <c r="M37" s="654"/>
      <c r="N37" s="654"/>
      <c r="O37" s="654"/>
      <c r="P37" s="654"/>
      <c r="Q37" s="655"/>
      <c r="R37" s="655"/>
      <c r="S37" s="655"/>
      <c r="T37" s="655"/>
      <c r="U37" s="655"/>
      <c r="V37" s="655"/>
      <c r="W37" s="655"/>
      <c r="X37" s="655"/>
      <c r="Y37" s="655"/>
      <c r="Z37" s="115"/>
      <c r="AA37" s="115"/>
      <c r="AB37" s="115"/>
      <c r="AC37" s="115"/>
      <c r="AD37" s="115"/>
      <c r="AE37" s="114"/>
      <c r="AF37" s="577"/>
      <c r="AG37" s="671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573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</row>
    <row r="38" spans="1:60" ht="18.75" customHeight="1">
      <c r="A38" s="20"/>
      <c r="B38" s="20"/>
      <c r="C38" s="20"/>
      <c r="D38" s="20"/>
      <c r="E38" s="20"/>
      <c r="F38" s="20"/>
      <c r="G38" s="20"/>
      <c r="H38" s="20"/>
      <c r="I38" s="20"/>
      <c r="J38" s="115"/>
      <c r="K38" s="655"/>
      <c r="L38" s="655"/>
      <c r="M38" s="655"/>
      <c r="N38" s="655"/>
      <c r="O38" s="655"/>
      <c r="P38" s="655"/>
      <c r="Q38" s="655"/>
      <c r="R38" s="655"/>
      <c r="S38" s="655"/>
      <c r="T38" s="655"/>
      <c r="U38" s="655"/>
      <c r="V38" s="655"/>
      <c r="W38" s="655"/>
      <c r="X38" s="655"/>
      <c r="Y38" s="655"/>
      <c r="Z38" s="115"/>
      <c r="AA38" s="115"/>
      <c r="AB38" s="115"/>
      <c r="AC38" s="115"/>
      <c r="AD38" s="115"/>
      <c r="AE38" s="114"/>
      <c r="AF38" s="577"/>
      <c r="AG38" s="671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573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</row>
    <row r="39" spans="1:60" ht="204" customHeight="1">
      <c r="A39" s="679"/>
      <c r="B39" s="672"/>
      <c r="C39" s="672"/>
      <c r="D39" s="672"/>
      <c r="E39" s="672"/>
      <c r="F39" s="672"/>
      <c r="G39" s="672"/>
      <c r="H39" s="672"/>
      <c r="I39" s="672"/>
      <c r="J39" s="672"/>
      <c r="K39" s="672"/>
      <c r="L39" s="672"/>
      <c r="M39" s="672"/>
      <c r="N39" s="672"/>
      <c r="O39" s="672"/>
      <c r="P39" s="672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</row>
    <row r="40" spans="1:60" ht="21.95" customHeight="1">
      <c r="A40" s="686" t="s">
        <v>267</v>
      </c>
      <c r="B40" s="686"/>
      <c r="C40" s="686"/>
      <c r="D40" s="686"/>
      <c r="E40" s="686"/>
      <c r="F40" s="686"/>
      <c r="G40" s="686"/>
      <c r="H40" s="686"/>
      <c r="I40" s="686"/>
      <c r="J40" s="686"/>
      <c r="K40" s="225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</row>
    <row r="41" spans="1:60" ht="20.100000000000001" customHeight="1">
      <c r="A41" s="193"/>
      <c r="H41" s="826" t="s">
        <v>464</v>
      </c>
      <c r="I41" s="826"/>
      <c r="AA41" s="241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</row>
    <row r="42" spans="1:60" ht="93" customHeight="1">
      <c r="A42" s="697" t="s">
        <v>195</v>
      </c>
      <c r="B42" s="736" t="s">
        <v>225</v>
      </c>
      <c r="C42" s="745"/>
      <c r="D42" s="736" t="s">
        <v>458</v>
      </c>
      <c r="E42" s="745"/>
      <c r="F42" s="736" t="s">
        <v>459</v>
      </c>
      <c r="G42" s="738"/>
      <c r="H42" s="736" t="s">
        <v>290</v>
      </c>
      <c r="I42" s="745"/>
      <c r="J42" s="736" t="s">
        <v>460</v>
      </c>
      <c r="K42" s="745"/>
      <c r="M42" s="690"/>
      <c r="N42" s="690"/>
      <c r="O42" s="690"/>
      <c r="P42" s="690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</row>
    <row r="43" spans="1:60" ht="210.75" customHeight="1">
      <c r="A43" s="697"/>
      <c r="B43" s="674" t="s">
        <v>62</v>
      </c>
      <c r="C43" s="674" t="s">
        <v>63</v>
      </c>
      <c r="D43" s="674" t="s">
        <v>226</v>
      </c>
      <c r="E43" s="674" t="s">
        <v>363</v>
      </c>
      <c r="F43" s="674" t="s">
        <v>226</v>
      </c>
      <c r="G43" s="674" t="s">
        <v>363</v>
      </c>
      <c r="H43" s="674" t="s">
        <v>226</v>
      </c>
      <c r="I43" s="674" t="s">
        <v>363</v>
      </c>
      <c r="J43" s="674" t="s">
        <v>226</v>
      </c>
      <c r="K43" s="674" t="s">
        <v>363</v>
      </c>
      <c r="L43" s="120"/>
      <c r="M43" s="690"/>
      <c r="N43" s="690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</row>
    <row r="44" spans="1:60" ht="18" customHeight="1">
      <c r="A44" s="674">
        <v>1</v>
      </c>
      <c r="B44" s="674">
        <v>2</v>
      </c>
      <c r="C44" s="674">
        <v>3</v>
      </c>
      <c r="D44" s="674">
        <v>4</v>
      </c>
      <c r="E44" s="674">
        <v>5</v>
      </c>
      <c r="F44" s="103">
        <v>6</v>
      </c>
      <c r="G44" s="674">
        <v>7</v>
      </c>
      <c r="H44" s="674">
        <v>8</v>
      </c>
      <c r="I44" s="674">
        <v>9</v>
      </c>
      <c r="J44" s="674">
        <v>10</v>
      </c>
      <c r="K44" s="674">
        <v>11</v>
      </c>
      <c r="L44" s="672"/>
      <c r="M44" s="672"/>
      <c r="N44" s="672"/>
      <c r="O44" s="672"/>
      <c r="P44" s="672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</row>
    <row r="45" spans="1:60" ht="243.75">
      <c r="A45" s="130" t="s">
        <v>430</v>
      </c>
      <c r="B45" s="195">
        <f>D45/$D$62*100</f>
        <v>45.118825248284658</v>
      </c>
      <c r="C45" s="195">
        <f>J45/J62*100</f>
        <v>91.66157757096731</v>
      </c>
      <c r="D45" s="103">
        <f>'1.Фінансовий результат'!C13</f>
        <v>12198.1</v>
      </c>
      <c r="E45" s="674">
        <v>55102</v>
      </c>
      <c r="F45" s="244">
        <f>'1.Фінансовий результат'!D13</f>
        <v>36228.1</v>
      </c>
      <c r="G45" s="687">
        <v>54398</v>
      </c>
      <c r="H45" s="674">
        <v>20903.099999999999</v>
      </c>
      <c r="I45" s="674">
        <v>43318</v>
      </c>
      <c r="J45" s="103">
        <f>'1.Фінансовий результат'!F13</f>
        <v>31369.8</v>
      </c>
      <c r="K45" s="687">
        <v>52594</v>
      </c>
      <c r="L45" s="672"/>
      <c r="M45" s="672"/>
      <c r="N45" s="672"/>
      <c r="O45" s="672"/>
      <c r="P45" s="672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</row>
    <row r="46" spans="1:60" ht="168.75">
      <c r="A46" s="130" t="s">
        <v>364</v>
      </c>
      <c r="B46" s="195"/>
      <c r="C46" s="195"/>
      <c r="D46" s="103">
        <f>'1.Фінансовий результат'!C24</f>
        <v>6006.7</v>
      </c>
      <c r="E46" s="674">
        <v>55102</v>
      </c>
      <c r="F46" s="244"/>
      <c r="G46" s="687"/>
      <c r="H46" s="674"/>
      <c r="I46" s="674"/>
      <c r="J46" s="103"/>
      <c r="K46" s="687"/>
      <c r="L46" s="121"/>
      <c r="M46" s="672"/>
      <c r="N46" s="672"/>
      <c r="O46" s="122"/>
      <c r="P46" s="122"/>
      <c r="Q46" s="123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</row>
    <row r="47" spans="1:60" ht="27" customHeight="1">
      <c r="A47" s="239" t="s">
        <v>319</v>
      </c>
      <c r="B47" s="195">
        <f t="shared" ref="B47:B61" si="6">D47/$D$62*100</f>
        <v>2.5211296258622919</v>
      </c>
      <c r="C47" s="195">
        <f>J47/J62*100</f>
        <v>0</v>
      </c>
      <c r="D47" s="103">
        <f>'1.Фінансовий результат'!C30</f>
        <v>681.6</v>
      </c>
      <c r="E47" s="64">
        <v>2440</v>
      </c>
      <c r="F47" s="244"/>
      <c r="G47" s="479"/>
      <c r="H47" s="12">
        <v>0.2</v>
      </c>
      <c r="I47" s="64">
        <v>1</v>
      </c>
      <c r="J47" s="103"/>
      <c r="K47" s="64"/>
      <c r="M47" s="111"/>
      <c r="N47" s="110"/>
      <c r="O47" s="680"/>
      <c r="P47" s="680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</row>
    <row r="48" spans="1:60" ht="101.25" customHeight="1">
      <c r="A48" s="130" t="s">
        <v>429</v>
      </c>
      <c r="B48" s="195">
        <f t="shared" si="6"/>
        <v>6.354237946403801</v>
      </c>
      <c r="C48" s="195">
        <f>J48/J62*100</f>
        <v>0</v>
      </c>
      <c r="D48" s="103">
        <f>'1.Фінансовий результат'!C25</f>
        <v>1717.9</v>
      </c>
      <c r="E48" s="674">
        <v>377</v>
      </c>
      <c r="F48" s="244"/>
      <c r="G48" s="687"/>
      <c r="H48" s="674"/>
      <c r="I48" s="674"/>
      <c r="J48" s="103"/>
      <c r="K48" s="674"/>
      <c r="L48" s="121"/>
      <c r="M48" s="672"/>
      <c r="N48" s="672"/>
      <c r="O48" s="122"/>
      <c r="P48" s="122"/>
      <c r="Q48" s="123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</row>
    <row r="49" spans="1:60" ht="76.5" customHeight="1">
      <c r="A49" s="130" t="s">
        <v>428</v>
      </c>
      <c r="B49" s="195">
        <f t="shared" si="6"/>
        <v>2.9420576649220465</v>
      </c>
      <c r="C49" s="195">
        <f>J50/J62*100</f>
        <v>1.8019781728928954</v>
      </c>
      <c r="D49" s="103">
        <f>'1.Фінансовий результат'!C26</f>
        <v>795.4</v>
      </c>
      <c r="E49" s="674">
        <v>6842</v>
      </c>
      <c r="F49" s="244"/>
      <c r="G49" s="687"/>
      <c r="H49" s="674"/>
      <c r="I49" s="674"/>
      <c r="J49" s="240"/>
      <c r="K49" s="16"/>
      <c r="L49" s="121"/>
      <c r="M49" s="672"/>
      <c r="N49" s="672"/>
      <c r="O49" s="122"/>
      <c r="P49" s="122"/>
      <c r="Q49" s="123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</row>
    <row r="50" spans="1:60" ht="318.75">
      <c r="A50" s="130" t="s">
        <v>427</v>
      </c>
      <c r="B50" s="195">
        <f t="shared" si="6"/>
        <v>2.4079451092082627</v>
      </c>
      <c r="C50" s="195" t="e">
        <f>J51/J63*100</f>
        <v>#DIV/0!</v>
      </c>
      <c r="D50" s="244">
        <f>'1.Фінансовий результат'!C15</f>
        <v>651</v>
      </c>
      <c r="E50" s="687">
        <v>55102</v>
      </c>
      <c r="F50" s="244">
        <f>'1.Фінансовий результат'!D15</f>
        <v>1102.8</v>
      </c>
      <c r="G50" s="687">
        <v>54398</v>
      </c>
      <c r="H50" s="674">
        <v>342.9</v>
      </c>
      <c r="I50" s="674">
        <v>43318</v>
      </c>
      <c r="J50" s="103">
        <f>'1.Фінансовий результат'!F15</f>
        <v>616.70000000000005</v>
      </c>
      <c r="K50" s="687">
        <v>52594</v>
      </c>
      <c r="M50" s="672"/>
      <c r="N50" s="672"/>
      <c r="O50" s="124"/>
      <c r="P50" s="124"/>
      <c r="Q50" s="125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</row>
    <row r="51" spans="1:60" ht="42.75" customHeight="1">
      <c r="A51" s="130" t="s">
        <v>365</v>
      </c>
      <c r="B51" s="195">
        <f>D51/$D$62*100</f>
        <v>2.3883412550165519</v>
      </c>
      <c r="C51" s="195" t="e">
        <f>J51/J61*100</f>
        <v>#DIV/0!</v>
      </c>
      <c r="D51" s="244">
        <f>SUM(D52:D58)</f>
        <v>645.70000000000005</v>
      </c>
      <c r="E51" s="687"/>
      <c r="F51" s="244">
        <f>SUM(F52:F58)</f>
        <v>832.4</v>
      </c>
      <c r="G51" s="244"/>
      <c r="H51" s="244">
        <f t="shared" ref="H51" si="7">SUM(H52:H58)</f>
        <v>981.7</v>
      </c>
      <c r="I51" s="244"/>
      <c r="J51" s="103">
        <f>SUM(J52:J58)</f>
        <v>1123.5999999999999</v>
      </c>
      <c r="K51" s="674"/>
      <c r="L51" s="125"/>
      <c r="M51" s="672"/>
      <c r="N51" s="672"/>
      <c r="O51" s="124"/>
      <c r="P51" s="124"/>
      <c r="Q51" s="125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</row>
    <row r="52" spans="1:60" s="177" customFormat="1" ht="409.5">
      <c r="A52" s="220" t="s">
        <v>366</v>
      </c>
      <c r="B52" s="219">
        <f t="shared" si="6"/>
        <v>0</v>
      </c>
      <c r="C52" s="219">
        <f>J52/J62*100</f>
        <v>0</v>
      </c>
      <c r="D52" s="131"/>
      <c r="E52" s="144"/>
      <c r="F52" s="230"/>
      <c r="G52" s="355"/>
      <c r="H52" s="144"/>
      <c r="I52" s="144"/>
      <c r="J52" s="131"/>
      <c r="K52" s="144"/>
      <c r="L52" s="221"/>
      <c r="M52" s="222"/>
      <c r="N52" s="222"/>
      <c r="O52" s="223"/>
      <c r="P52" s="223"/>
      <c r="Q52" s="221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</row>
    <row r="53" spans="1:60" s="177" customFormat="1" ht="409.5">
      <c r="A53" s="220" t="s">
        <v>367</v>
      </c>
      <c r="B53" s="219">
        <f t="shared" si="6"/>
        <v>0</v>
      </c>
      <c r="C53" s="219">
        <f>J53/J62*100</f>
        <v>0</v>
      </c>
      <c r="D53" s="131"/>
      <c r="E53" s="144"/>
      <c r="F53" s="230"/>
      <c r="G53" s="355"/>
      <c r="H53" s="144"/>
      <c r="I53" s="144"/>
      <c r="J53" s="131"/>
      <c r="K53" s="144"/>
      <c r="L53" s="221"/>
      <c r="M53" s="222"/>
      <c r="N53" s="222"/>
      <c r="O53" s="223"/>
      <c r="P53" s="223"/>
      <c r="Q53" s="221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</row>
    <row r="54" spans="1:60" s="177" customFormat="1" ht="74.25" customHeight="1">
      <c r="A54" s="220" t="s">
        <v>425</v>
      </c>
      <c r="B54" s="219">
        <f t="shared" si="6"/>
        <v>0</v>
      </c>
      <c r="C54" s="219">
        <f>J54/J62*100</f>
        <v>7.3049220564816567E-2</v>
      </c>
      <c r="D54" s="230"/>
      <c r="E54" s="355"/>
      <c r="F54" s="230">
        <f>'1.Фінансовий результат'!D19</f>
        <v>37.5</v>
      </c>
      <c r="G54" s="355">
        <v>1</v>
      </c>
      <c r="H54" s="144"/>
      <c r="I54" s="144"/>
      <c r="J54" s="131">
        <f>'1.Фінансовий результат'!F19</f>
        <v>25</v>
      </c>
      <c r="K54" s="144">
        <v>1</v>
      </c>
      <c r="L54" s="221"/>
      <c r="M54" s="222"/>
      <c r="N54" s="222"/>
      <c r="O54" s="223"/>
      <c r="P54" s="223"/>
      <c r="Q54" s="221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</row>
    <row r="55" spans="1:60" s="177" customFormat="1" ht="409.5">
      <c r="A55" s="220" t="s">
        <v>368</v>
      </c>
      <c r="B55" s="219">
        <f t="shared" si="6"/>
        <v>0</v>
      </c>
      <c r="C55" s="219">
        <f>J55/J62*100</f>
        <v>0</v>
      </c>
      <c r="D55" s="131"/>
      <c r="E55" s="144"/>
      <c r="F55" s="230"/>
      <c r="G55" s="355"/>
      <c r="H55" s="144"/>
      <c r="I55" s="144"/>
      <c r="J55" s="131"/>
      <c r="K55" s="144"/>
      <c r="L55" s="221"/>
      <c r="M55" s="222"/>
      <c r="N55" s="222"/>
      <c r="O55" s="223"/>
      <c r="P55" s="223"/>
      <c r="Q55" s="221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</row>
    <row r="56" spans="1:60" s="177" customFormat="1" ht="409.5">
      <c r="A56" s="220" t="s">
        <v>399</v>
      </c>
      <c r="B56" s="219">
        <f t="shared" si="6"/>
        <v>2.3883412550165519</v>
      </c>
      <c r="C56" s="219">
        <f>J56/J62*100</f>
        <v>3.2100749485002993</v>
      </c>
      <c r="D56" s="230">
        <f>'1.Фінансовий результат'!C21</f>
        <v>645.70000000000005</v>
      </c>
      <c r="E56" s="355">
        <v>67</v>
      </c>
      <c r="F56" s="230">
        <f>'1.Фінансовий результат'!D21</f>
        <v>794.9</v>
      </c>
      <c r="G56" s="355">
        <v>80</v>
      </c>
      <c r="H56" s="144">
        <v>981.7</v>
      </c>
      <c r="I56" s="144">
        <v>95</v>
      </c>
      <c r="J56" s="131">
        <f>'1.Фінансовий результат'!F21</f>
        <v>1098.5999999999999</v>
      </c>
      <c r="K56" s="144">
        <v>75</v>
      </c>
      <c r="L56" s="221"/>
      <c r="M56" s="222"/>
      <c r="N56" s="222"/>
      <c r="O56" s="223"/>
      <c r="P56" s="223"/>
      <c r="Q56" s="221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49"/>
      <c r="BG56" s="249"/>
      <c r="BH56" s="249"/>
    </row>
    <row r="57" spans="1:60" s="177" customFormat="1" ht="409.5">
      <c r="A57" s="220" t="s">
        <v>370</v>
      </c>
      <c r="B57" s="219">
        <f t="shared" si="6"/>
        <v>0</v>
      </c>
      <c r="C57" s="219">
        <f>J57/J62*100</f>
        <v>0</v>
      </c>
      <c r="D57" s="131"/>
      <c r="E57" s="144"/>
      <c r="F57" s="230"/>
      <c r="G57" s="355"/>
      <c r="H57" s="144"/>
      <c r="I57" s="144"/>
      <c r="J57" s="131"/>
      <c r="K57" s="144"/>
      <c r="L57" s="221"/>
      <c r="M57" s="222"/>
      <c r="N57" s="222"/>
      <c r="O57" s="223"/>
      <c r="P57" s="223"/>
      <c r="Q57" s="221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49"/>
      <c r="BB57" s="249"/>
      <c r="BC57" s="249"/>
      <c r="BD57" s="249"/>
      <c r="BE57" s="249"/>
      <c r="BF57" s="249"/>
      <c r="BG57" s="249"/>
      <c r="BH57" s="249"/>
    </row>
    <row r="58" spans="1:60" s="177" customFormat="1" ht="93.75" customHeight="1">
      <c r="A58" s="220" t="s">
        <v>369</v>
      </c>
      <c r="B58" s="219">
        <f t="shared" si="6"/>
        <v>0</v>
      </c>
      <c r="C58" s="219">
        <f>J58/J62*100</f>
        <v>0</v>
      </c>
      <c r="D58" s="131"/>
      <c r="E58" s="144"/>
      <c r="F58" s="230"/>
      <c r="G58" s="355"/>
      <c r="H58" s="144"/>
      <c r="I58" s="144"/>
      <c r="J58" s="131"/>
      <c r="K58" s="144"/>
      <c r="L58" s="221"/>
      <c r="M58" s="222"/>
      <c r="N58" s="222"/>
      <c r="O58" s="223"/>
      <c r="P58" s="223"/>
      <c r="Q58" s="221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</row>
    <row r="59" spans="1:60" ht="60.75" customHeight="1">
      <c r="A59" s="130" t="s">
        <v>426</v>
      </c>
      <c r="B59" s="195">
        <f t="shared" si="6"/>
        <v>11.417950472526861</v>
      </c>
      <c r="C59" s="195">
        <f>J59/J62*100</f>
        <v>3.253320087074671</v>
      </c>
      <c r="D59" s="103">
        <f>'1.Фінансовий результат'!C27</f>
        <v>3086.9</v>
      </c>
      <c r="E59" s="674">
        <v>12</v>
      </c>
      <c r="F59" s="244">
        <f>'1.Фінансовий результат'!D27</f>
        <v>0</v>
      </c>
      <c r="G59" s="687"/>
      <c r="H59" s="674">
        <v>2096.9</v>
      </c>
      <c r="I59" s="674">
        <v>9</v>
      </c>
      <c r="J59" s="103">
        <f>'1.Фінансовий результат'!F27</f>
        <v>1113.4000000000001</v>
      </c>
      <c r="K59" s="674">
        <v>10</v>
      </c>
      <c r="M59" s="672"/>
      <c r="N59" s="672"/>
      <c r="O59" s="124"/>
      <c r="P59" s="124"/>
      <c r="Q59" s="125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</row>
    <row r="60" spans="1:60" ht="409.5">
      <c r="A60" s="130" t="s">
        <v>489</v>
      </c>
      <c r="B60" s="195">
        <f t="shared" si="6"/>
        <v>0</v>
      </c>
      <c r="C60" s="195">
        <f>F60/$F$62*100</f>
        <v>0</v>
      </c>
      <c r="D60" s="103"/>
      <c r="E60" s="674"/>
      <c r="F60" s="244"/>
      <c r="G60" s="687"/>
      <c r="H60" s="674"/>
      <c r="I60" s="674"/>
      <c r="J60" s="103">
        <f>'1.Фінансовий результат'!F28</f>
        <v>0</v>
      </c>
      <c r="K60" s="674">
        <v>1</v>
      </c>
      <c r="M60" s="672"/>
      <c r="N60" s="672"/>
      <c r="O60" s="124"/>
      <c r="P60" s="124"/>
      <c r="Q60" s="125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</row>
    <row r="61" spans="1:60" ht="409.5">
      <c r="A61" s="130" t="s">
        <v>318</v>
      </c>
      <c r="B61" s="195">
        <f t="shared" si="6"/>
        <v>4.6316879658227146</v>
      </c>
      <c r="C61" s="195">
        <f>F61/$F$62*100</f>
        <v>0</v>
      </c>
      <c r="D61" s="103">
        <f>'1.Фінансовий результат'!C29</f>
        <v>1252.2</v>
      </c>
      <c r="E61" s="674">
        <v>55102</v>
      </c>
      <c r="F61" s="244">
        <f>'1.Фінансовий результат'!D29</f>
        <v>0</v>
      </c>
      <c r="G61" s="687"/>
      <c r="H61" s="674"/>
      <c r="I61" s="674"/>
      <c r="J61" s="103"/>
      <c r="K61" s="674"/>
      <c r="M61" s="672"/>
      <c r="N61" s="672"/>
      <c r="O61" s="672"/>
      <c r="P61" s="672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</row>
    <row r="62" spans="1:60" s="17" customFormat="1">
      <c r="A62" s="678" t="s">
        <v>45</v>
      </c>
      <c r="B62" s="88">
        <f>SUM(B45:B51,B59:B61)</f>
        <v>77.782175288047199</v>
      </c>
      <c r="C62" s="356" t="e">
        <f>SUM(C45:C51,C59:C61)</f>
        <v>#DIV/0!</v>
      </c>
      <c r="D62" s="141">
        <f>SUM(D45:D51,D59:D61)</f>
        <v>27035.500000000004</v>
      </c>
      <c r="E62" s="88"/>
      <c r="F62" s="141">
        <f>SUM(F45:F51,F59:F61)</f>
        <v>38163.300000000003</v>
      </c>
      <c r="G62" s="88"/>
      <c r="H62" s="88">
        <f>SUM(H45:H51,H59:H61)</f>
        <v>24324.800000000003</v>
      </c>
      <c r="I62" s="88"/>
      <c r="J62" s="88">
        <f t="shared" ref="J62" si="8">SUM(J45:J51,J59:J61)</f>
        <v>34223.5</v>
      </c>
      <c r="K62" s="88"/>
      <c r="M62" s="75"/>
      <c r="N62" s="75"/>
      <c r="O62" s="75"/>
      <c r="P62" s="75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</row>
    <row r="63" spans="1:60" ht="20.25" customHeight="1">
      <c r="A63" s="19"/>
      <c r="B63" s="196"/>
      <c r="C63" s="196"/>
      <c r="D63" s="196"/>
      <c r="E63" s="196"/>
      <c r="F63" s="341"/>
      <c r="G63" s="196"/>
      <c r="H63" s="677"/>
      <c r="I63" s="677"/>
      <c r="J63" s="5"/>
      <c r="K63" s="5"/>
      <c r="M63" s="5"/>
      <c r="N63" s="5"/>
      <c r="O63" s="5"/>
      <c r="P63" s="5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</row>
    <row r="64" spans="1:60" ht="21.95" customHeight="1">
      <c r="A64" s="5" t="s">
        <v>245</v>
      </c>
      <c r="B64" s="5"/>
      <c r="C64" s="5"/>
      <c r="D64" s="5"/>
      <c r="E64" s="5"/>
      <c r="F64" s="310"/>
      <c r="G64" s="5"/>
      <c r="H64" s="5"/>
      <c r="I64" s="5"/>
      <c r="J64" s="5"/>
      <c r="K64" s="5"/>
      <c r="M64" s="5"/>
      <c r="N64" s="5"/>
      <c r="O64" s="5"/>
      <c r="P64" s="5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</row>
    <row r="65" spans="1:60" ht="20.100000000000001" customHeight="1">
      <c r="A65" s="193"/>
      <c r="F65" s="241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</row>
    <row r="66" spans="1:60" ht="81.75" customHeight="1">
      <c r="A66" s="674" t="s">
        <v>110</v>
      </c>
      <c r="B66" s="736" t="s">
        <v>60</v>
      </c>
      <c r="C66" s="737"/>
      <c r="D66" s="745"/>
      <c r="E66" s="674" t="s">
        <v>249</v>
      </c>
      <c r="F66" s="103" t="s">
        <v>56</v>
      </c>
      <c r="G66" s="674" t="s">
        <v>227</v>
      </c>
      <c r="H66" s="674" t="s">
        <v>76</v>
      </c>
      <c r="I66" s="736" t="s">
        <v>23</v>
      </c>
      <c r="J66" s="798"/>
      <c r="K66" s="745"/>
      <c r="L66" s="690"/>
      <c r="M66" s="690"/>
      <c r="N66" s="690"/>
      <c r="O66" s="690"/>
      <c r="P66" s="690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</row>
    <row r="67" spans="1:60" ht="18" customHeight="1">
      <c r="A67" s="673">
        <v>1</v>
      </c>
      <c r="B67" s="736">
        <v>2</v>
      </c>
      <c r="C67" s="737"/>
      <c r="D67" s="745"/>
      <c r="E67" s="673">
        <v>3</v>
      </c>
      <c r="F67" s="673">
        <v>4</v>
      </c>
      <c r="G67" s="673">
        <v>5</v>
      </c>
      <c r="H67" s="197">
        <v>6</v>
      </c>
      <c r="I67" s="736">
        <v>7</v>
      </c>
      <c r="J67" s="798"/>
      <c r="K67" s="803"/>
      <c r="L67" s="672"/>
      <c r="M67" s="672"/>
      <c r="N67" s="672"/>
      <c r="O67" s="672"/>
      <c r="P67" s="672"/>
    </row>
    <row r="68" spans="1:60" ht="20.100000000000001" hidden="1" customHeight="1">
      <c r="A68" s="8"/>
      <c r="B68" s="746"/>
      <c r="C68" s="747"/>
      <c r="D68" s="745"/>
      <c r="E68" s="64"/>
      <c r="F68" s="64"/>
      <c r="G68" s="64"/>
      <c r="H68" s="12"/>
      <c r="I68" s="736"/>
      <c r="J68" s="798"/>
      <c r="K68" s="745"/>
      <c r="L68" s="680"/>
      <c r="M68" s="680"/>
      <c r="N68" s="680"/>
      <c r="O68" s="680"/>
      <c r="P68" s="680"/>
    </row>
    <row r="69" spans="1:60" ht="20.100000000000001" hidden="1" customHeight="1">
      <c r="A69" s="8"/>
      <c r="B69" s="746"/>
      <c r="C69" s="747"/>
      <c r="D69" s="745"/>
      <c r="E69" s="198"/>
      <c r="F69" s="64"/>
      <c r="G69" s="198"/>
      <c r="H69" s="199"/>
      <c r="I69" s="736"/>
      <c r="J69" s="798"/>
      <c r="K69" s="745"/>
      <c r="L69" s="680"/>
      <c r="M69" s="680"/>
      <c r="N69" s="680"/>
      <c r="O69" s="680"/>
      <c r="P69" s="680"/>
    </row>
    <row r="70" spans="1:60" ht="20.100000000000001" customHeight="1">
      <c r="A70" s="8"/>
      <c r="B70" s="746"/>
      <c r="C70" s="747"/>
      <c r="D70" s="745"/>
      <c r="E70" s="64"/>
      <c r="F70" s="64"/>
      <c r="G70" s="64"/>
      <c r="H70" s="12"/>
      <c r="I70" s="736"/>
      <c r="J70" s="798"/>
      <c r="K70" s="745"/>
      <c r="L70" s="680"/>
      <c r="M70" s="680"/>
      <c r="N70" s="680"/>
      <c r="O70" s="680"/>
      <c r="P70" s="680"/>
    </row>
    <row r="71" spans="1:60" ht="20.100000000000001" customHeight="1">
      <c r="A71" s="8" t="s">
        <v>45</v>
      </c>
      <c r="B71" s="736" t="s">
        <v>24</v>
      </c>
      <c r="C71" s="737"/>
      <c r="D71" s="745"/>
      <c r="E71" s="674"/>
      <c r="F71" s="674" t="s">
        <v>24</v>
      </c>
      <c r="G71" s="674" t="s">
        <v>24</v>
      </c>
      <c r="H71" s="674"/>
      <c r="I71" s="736" t="s">
        <v>24</v>
      </c>
      <c r="J71" s="798"/>
      <c r="K71" s="745"/>
      <c r="L71" s="680"/>
      <c r="M71" s="680"/>
      <c r="N71" s="680"/>
      <c r="O71" s="680"/>
      <c r="P71" s="680"/>
    </row>
    <row r="72" spans="1:60" ht="20.100000000000001" customHeight="1">
      <c r="A72" s="677"/>
      <c r="B72" s="672"/>
      <c r="C72" s="672"/>
      <c r="D72" s="672"/>
      <c r="E72" s="672"/>
      <c r="F72" s="672"/>
      <c r="G72" s="672"/>
      <c r="H72" s="672"/>
      <c r="I72" s="672"/>
      <c r="J72" s="672"/>
      <c r="K72" s="675"/>
      <c r="L72" s="675"/>
      <c r="M72" s="675"/>
      <c r="N72" s="675"/>
      <c r="O72" s="675"/>
      <c r="P72" s="675"/>
    </row>
    <row r="73" spans="1:60" ht="21.95" customHeight="1">
      <c r="A73" s="5" t="s">
        <v>246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60" ht="9.75" customHeight="1">
      <c r="A74" s="5"/>
      <c r="B74" s="200"/>
      <c r="C74" s="200"/>
      <c r="D74" s="200"/>
      <c r="E74" s="5"/>
      <c r="F74" s="5"/>
      <c r="G74" s="5"/>
      <c r="H74" s="5"/>
      <c r="I74" s="5"/>
    </row>
    <row r="75" spans="1:60" ht="82.5" customHeight="1">
      <c r="A75" s="674" t="s">
        <v>55</v>
      </c>
      <c r="B75" s="736" t="s">
        <v>250</v>
      </c>
      <c r="C75" s="737"/>
      <c r="D75" s="745"/>
      <c r="E75" s="786" t="s">
        <v>237</v>
      </c>
      <c r="F75" s="788"/>
      <c r="G75" s="705" t="s">
        <v>236</v>
      </c>
      <c r="H75" s="705"/>
      <c r="I75" s="786" t="s">
        <v>77</v>
      </c>
      <c r="J75" s="797"/>
      <c r="K75" s="788"/>
      <c r="L75" s="690"/>
      <c r="M75" s="690"/>
      <c r="N75" s="690"/>
      <c r="O75" s="690"/>
      <c r="P75" s="690"/>
    </row>
    <row r="76" spans="1:60" ht="18" customHeight="1">
      <c r="A76" s="674">
        <v>1</v>
      </c>
      <c r="B76" s="736">
        <v>2</v>
      </c>
      <c r="C76" s="737"/>
      <c r="D76" s="798"/>
      <c r="E76" s="736">
        <v>3</v>
      </c>
      <c r="F76" s="745"/>
      <c r="G76" s="736">
        <v>4</v>
      </c>
      <c r="H76" s="738"/>
      <c r="I76" s="736">
        <v>5</v>
      </c>
      <c r="J76" s="802"/>
      <c r="K76" s="803"/>
      <c r="L76" s="672"/>
      <c r="M76" s="672"/>
      <c r="N76" s="672"/>
      <c r="O76" s="672"/>
      <c r="P76" s="672"/>
    </row>
    <row r="77" spans="1:60" ht="20.100000000000001" customHeight="1">
      <c r="A77" s="8" t="s">
        <v>228</v>
      </c>
      <c r="B77" s="748"/>
      <c r="C77" s="749"/>
      <c r="D77" s="750"/>
      <c r="E77" s="689"/>
      <c r="F77" s="198"/>
      <c r="G77" s="202"/>
      <c r="H77" s="198"/>
      <c r="I77" s="688"/>
      <c r="J77" s="683"/>
      <c r="K77" s="203"/>
      <c r="L77" s="680"/>
      <c r="M77" s="680"/>
      <c r="N77" s="680"/>
      <c r="O77" s="680"/>
      <c r="P77" s="680"/>
    </row>
    <row r="78" spans="1:60" ht="20.100000000000001" customHeight="1">
      <c r="A78" s="8" t="s">
        <v>89</v>
      </c>
      <c r="B78" s="748"/>
      <c r="C78" s="749"/>
      <c r="D78" s="750"/>
      <c r="E78" s="689"/>
      <c r="F78" s="198"/>
      <c r="G78" s="202"/>
      <c r="H78" s="198"/>
      <c r="I78" s="688"/>
      <c r="J78" s="683"/>
      <c r="K78" s="203"/>
      <c r="L78" s="680"/>
      <c r="M78" s="680"/>
      <c r="N78" s="680"/>
      <c r="O78" s="680"/>
      <c r="P78" s="680"/>
    </row>
    <row r="79" spans="1:60" ht="20.100000000000001" customHeight="1">
      <c r="A79" s="8"/>
      <c r="B79" s="748"/>
      <c r="C79" s="749"/>
      <c r="D79" s="750"/>
      <c r="E79" s="689"/>
      <c r="F79" s="198"/>
      <c r="G79" s="202"/>
      <c r="H79" s="198"/>
      <c r="I79" s="688"/>
      <c r="J79" s="683"/>
      <c r="K79" s="203"/>
      <c r="L79" s="680"/>
      <c r="M79" s="680"/>
      <c r="N79" s="680"/>
      <c r="O79" s="680"/>
      <c r="P79" s="680"/>
    </row>
    <row r="80" spans="1:60" ht="20.100000000000001" customHeight="1">
      <c r="A80" s="8" t="s">
        <v>229</v>
      </c>
      <c r="B80" s="748"/>
      <c r="C80" s="749"/>
      <c r="D80" s="750"/>
      <c r="E80" s="689"/>
      <c r="F80" s="198"/>
      <c r="G80" s="202"/>
      <c r="H80" s="198"/>
      <c r="I80" s="688"/>
      <c r="J80" s="683"/>
      <c r="K80" s="203"/>
      <c r="L80" s="680"/>
      <c r="M80" s="680"/>
      <c r="N80" s="680"/>
      <c r="O80" s="680"/>
      <c r="P80" s="680"/>
    </row>
    <row r="81" spans="1:32" ht="20.100000000000001" customHeight="1">
      <c r="A81" s="8" t="s">
        <v>90</v>
      </c>
      <c r="B81" s="748"/>
      <c r="C81" s="749"/>
      <c r="D81" s="750"/>
      <c r="E81" s="689"/>
      <c r="F81" s="198"/>
      <c r="G81" s="202"/>
      <c r="H81" s="198"/>
      <c r="I81" s="688"/>
      <c r="J81" s="683"/>
      <c r="K81" s="203"/>
      <c r="L81" s="680"/>
      <c r="M81" s="680"/>
      <c r="N81" s="680"/>
      <c r="O81" s="680"/>
      <c r="P81" s="680"/>
    </row>
    <row r="82" spans="1:32" ht="20.100000000000001" customHeight="1">
      <c r="A82" s="8"/>
      <c r="B82" s="748"/>
      <c r="C82" s="749"/>
      <c r="D82" s="750"/>
      <c r="E82" s="689"/>
      <c r="F82" s="198"/>
      <c r="G82" s="202"/>
      <c r="H82" s="198"/>
      <c r="I82" s="688"/>
      <c r="J82" s="683"/>
      <c r="K82" s="203"/>
      <c r="L82" s="680"/>
      <c r="M82" s="680"/>
      <c r="N82" s="680"/>
      <c r="O82" s="680"/>
      <c r="P82" s="680"/>
    </row>
    <row r="83" spans="1:32" ht="20.100000000000001" customHeight="1">
      <c r="A83" s="8" t="s">
        <v>230</v>
      </c>
      <c r="B83" s="748"/>
      <c r="C83" s="749"/>
      <c r="D83" s="750"/>
      <c r="E83" s="689"/>
      <c r="F83" s="198"/>
      <c r="G83" s="202"/>
      <c r="H83" s="198"/>
      <c r="I83" s="688"/>
      <c r="J83" s="683"/>
      <c r="K83" s="203"/>
      <c r="L83" s="680"/>
      <c r="M83" s="680"/>
      <c r="N83" s="680"/>
      <c r="O83" s="680"/>
      <c r="P83" s="680"/>
    </row>
    <row r="84" spans="1:32" ht="20.100000000000001" customHeight="1">
      <c r="A84" s="8" t="s">
        <v>89</v>
      </c>
      <c r="B84" s="748"/>
      <c r="C84" s="749"/>
      <c r="D84" s="750"/>
      <c r="E84" s="689"/>
      <c r="F84" s="198"/>
      <c r="G84" s="202"/>
      <c r="H84" s="198"/>
      <c r="I84" s="688"/>
      <c r="J84" s="683"/>
      <c r="K84" s="203"/>
      <c r="L84" s="680"/>
      <c r="M84" s="680"/>
      <c r="N84" s="680"/>
      <c r="O84" s="680"/>
      <c r="P84" s="680"/>
    </row>
    <row r="85" spans="1:32" ht="8.25" customHeight="1">
      <c r="A85" s="8"/>
      <c r="B85" s="748"/>
      <c r="C85" s="749"/>
      <c r="D85" s="750"/>
      <c r="E85" s="689"/>
      <c r="F85" s="198"/>
      <c r="G85" s="202"/>
      <c r="H85" s="198"/>
      <c r="I85" s="688"/>
      <c r="J85" s="683"/>
      <c r="K85" s="203"/>
      <c r="L85" s="680"/>
      <c r="M85" s="680"/>
      <c r="N85" s="680"/>
      <c r="O85" s="680"/>
      <c r="P85" s="680"/>
    </row>
    <row r="86" spans="1:32" ht="20.100000000000001" customHeight="1">
      <c r="A86" s="8" t="s">
        <v>45</v>
      </c>
      <c r="B86" s="748"/>
      <c r="C86" s="749"/>
      <c r="D86" s="750"/>
      <c r="E86" s="689"/>
      <c r="F86" s="204"/>
      <c r="G86" s="202"/>
      <c r="H86" s="204"/>
      <c r="I86" s="205"/>
      <c r="J86" s="683"/>
      <c r="K86" s="203"/>
      <c r="L86" s="680"/>
      <c r="M86" s="680"/>
      <c r="N86" s="680"/>
      <c r="O86" s="680"/>
      <c r="P86" s="680"/>
    </row>
    <row r="87" spans="1:32">
      <c r="E87" s="206"/>
      <c r="F87" s="206"/>
      <c r="G87" s="206"/>
    </row>
    <row r="88" spans="1:32" ht="10.5" customHeight="1">
      <c r="E88" s="206"/>
      <c r="F88" s="206"/>
      <c r="G88" s="206"/>
    </row>
    <row r="89" spans="1:32">
      <c r="A89" s="760" t="s">
        <v>268</v>
      </c>
      <c r="B89" s="760"/>
      <c r="C89" s="760"/>
      <c r="D89" s="760"/>
      <c r="E89" s="760"/>
      <c r="F89" s="760"/>
      <c r="G89" s="760"/>
      <c r="H89" s="760"/>
      <c r="I89" s="760"/>
      <c r="J89" s="760"/>
      <c r="K89" s="760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</row>
    <row r="90" spans="1:3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</row>
    <row r="91" spans="1:32" ht="18.75" customHeight="1">
      <c r="A91" s="727" t="s">
        <v>40</v>
      </c>
      <c r="B91" s="811" t="s">
        <v>158</v>
      </c>
      <c r="C91" s="812"/>
      <c r="D91" s="813"/>
      <c r="E91" s="705" t="s">
        <v>159</v>
      </c>
      <c r="F91" s="705" t="s">
        <v>235</v>
      </c>
      <c r="G91" s="705" t="s">
        <v>160</v>
      </c>
      <c r="H91" s="736" t="s">
        <v>251</v>
      </c>
      <c r="I91" s="737"/>
      <c r="J91" s="737"/>
      <c r="K91" s="737"/>
      <c r="L91" s="738"/>
      <c r="M91" s="690"/>
      <c r="N91" s="690"/>
      <c r="O91" s="690"/>
      <c r="P91" s="690"/>
      <c r="Q91" s="690"/>
      <c r="R91" s="672"/>
      <c r="S91" s="672"/>
      <c r="T91" s="672"/>
      <c r="U91" s="672"/>
      <c r="V91" s="672"/>
      <c r="W91" s="672"/>
      <c r="X91" s="672"/>
      <c r="Y91" s="672"/>
      <c r="Z91" s="672"/>
      <c r="AA91" s="672"/>
      <c r="AB91" s="672"/>
      <c r="AC91" s="672"/>
      <c r="AD91" s="672"/>
      <c r="AE91" s="672"/>
      <c r="AF91" s="672"/>
    </row>
    <row r="92" spans="1:32" ht="18.75" customHeight="1">
      <c r="A92" s="806"/>
      <c r="B92" s="817"/>
      <c r="C92" s="818"/>
      <c r="D92" s="819"/>
      <c r="E92" s="706"/>
      <c r="F92" s="706"/>
      <c r="G92" s="706"/>
      <c r="H92" s="676" t="s">
        <v>161</v>
      </c>
      <c r="I92" s="674" t="s">
        <v>162</v>
      </c>
      <c r="J92" s="674" t="s">
        <v>28</v>
      </c>
      <c r="K92" s="674" t="s">
        <v>163</v>
      </c>
      <c r="L92" s="70" t="s">
        <v>164</v>
      </c>
      <c r="M92" s="690"/>
      <c r="N92" s="690"/>
      <c r="O92" s="690"/>
      <c r="P92" s="690"/>
      <c r="Q92" s="690"/>
      <c r="R92" s="690"/>
      <c r="S92" s="690"/>
      <c r="T92" s="690"/>
      <c r="U92" s="690"/>
      <c r="V92" s="690"/>
      <c r="W92" s="690"/>
      <c r="X92" s="690"/>
      <c r="Y92" s="690"/>
      <c r="Z92" s="690"/>
      <c r="AA92" s="690"/>
      <c r="AB92" s="672"/>
      <c r="AC92" s="672"/>
      <c r="AD92" s="672"/>
      <c r="AE92" s="672"/>
      <c r="AF92" s="672"/>
    </row>
    <row r="93" spans="1:32">
      <c r="A93" s="207">
        <v>1</v>
      </c>
      <c r="B93" s="754">
        <v>2</v>
      </c>
      <c r="C93" s="755"/>
      <c r="D93" s="756"/>
      <c r="E93" s="66">
        <v>3</v>
      </c>
      <c r="F93" s="66">
        <v>4</v>
      </c>
      <c r="G93" s="208">
        <v>5</v>
      </c>
      <c r="H93" s="66">
        <v>6</v>
      </c>
      <c r="I93" s="66">
        <v>7</v>
      </c>
      <c r="J93" s="66">
        <v>8</v>
      </c>
      <c r="K93" s="66">
        <v>9</v>
      </c>
      <c r="L93" s="69">
        <v>10</v>
      </c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679"/>
      <c r="AA93" s="679"/>
      <c r="AB93" s="679"/>
      <c r="AC93" s="679"/>
      <c r="AD93" s="679"/>
      <c r="AE93" s="679"/>
      <c r="AF93" s="679"/>
    </row>
    <row r="94" spans="1:32">
      <c r="A94" s="207"/>
      <c r="B94" s="754"/>
      <c r="C94" s="755"/>
      <c r="D94" s="756"/>
      <c r="E94" s="66"/>
      <c r="F94" s="66"/>
      <c r="G94" s="209">
        <f>SUM(H94:L94)</f>
        <v>0</v>
      </c>
      <c r="H94" s="72"/>
      <c r="I94" s="72"/>
      <c r="J94" s="72"/>
      <c r="K94" s="72"/>
      <c r="L94" s="71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</row>
    <row r="95" spans="1:32" hidden="1">
      <c r="A95" s="207"/>
      <c r="B95" s="754"/>
      <c r="C95" s="755"/>
      <c r="D95" s="756"/>
      <c r="E95" s="66"/>
      <c r="F95" s="66"/>
      <c r="G95" s="209">
        <f>SUM(H95:L95)</f>
        <v>0</v>
      </c>
      <c r="H95" s="72"/>
      <c r="I95" s="72"/>
      <c r="J95" s="72"/>
      <c r="K95" s="72"/>
      <c r="L95" s="71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</row>
    <row r="96" spans="1:32" hidden="1">
      <c r="A96" s="207"/>
      <c r="B96" s="754"/>
      <c r="C96" s="755"/>
      <c r="D96" s="756"/>
      <c r="E96" s="66"/>
      <c r="F96" s="66"/>
      <c r="G96" s="209">
        <f>SUM(H96:L96)</f>
        <v>0</v>
      </c>
      <c r="H96" s="72"/>
      <c r="I96" s="72"/>
      <c r="J96" s="72"/>
      <c r="K96" s="72"/>
      <c r="L96" s="71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</row>
    <row r="97" spans="1:36" hidden="1">
      <c r="A97" s="207"/>
      <c r="B97" s="754"/>
      <c r="C97" s="755"/>
      <c r="D97" s="756"/>
      <c r="E97" s="66"/>
      <c r="F97" s="66"/>
      <c r="G97" s="209">
        <f>SUM(H97:L97)</f>
        <v>0</v>
      </c>
      <c r="H97" s="72"/>
      <c r="I97" s="72"/>
      <c r="J97" s="72"/>
      <c r="K97" s="72"/>
      <c r="L97" s="71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</row>
    <row r="98" spans="1:36">
      <c r="A98" s="73" t="s">
        <v>45</v>
      </c>
      <c r="B98" s="809"/>
      <c r="C98" s="810"/>
      <c r="D98" s="756"/>
      <c r="E98" s="681"/>
      <c r="F98" s="210"/>
      <c r="G98" s="211">
        <f>G94+G95+G96+G97</f>
        <v>0</v>
      </c>
      <c r="H98" s="681"/>
      <c r="I98" s="681"/>
      <c r="J98" s="681"/>
      <c r="K98" s="681"/>
      <c r="L98" s="67"/>
      <c r="M98" s="680"/>
      <c r="N98" s="680"/>
      <c r="O98" s="680"/>
      <c r="P98" s="680"/>
      <c r="Q98" s="680"/>
      <c r="R98" s="680"/>
      <c r="S98" s="680"/>
      <c r="T98" s="680"/>
      <c r="U98" s="680"/>
      <c r="V98" s="680"/>
      <c r="W98" s="680"/>
      <c r="X98" s="680"/>
      <c r="Y98" s="680"/>
      <c r="Z98" s="680"/>
      <c r="AA98" s="680"/>
      <c r="AB98" s="680"/>
      <c r="AC98" s="680"/>
      <c r="AD98" s="680"/>
      <c r="AE98" s="680"/>
      <c r="AF98" s="680"/>
    </row>
    <row r="99" spans="1:36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7"/>
      <c r="N99" s="27"/>
      <c r="O99" s="27"/>
      <c r="P99" s="27"/>
      <c r="Q99" s="27"/>
      <c r="R99" s="41"/>
      <c r="S99" s="41"/>
      <c r="T99" s="41"/>
      <c r="U99" s="41"/>
      <c r="V99" s="41"/>
      <c r="W99" s="41"/>
      <c r="X99" s="41"/>
      <c r="Y99" s="41"/>
      <c r="Z99" s="42"/>
      <c r="AA99" s="42"/>
      <c r="AB99" s="42"/>
      <c r="AC99" s="42"/>
      <c r="AD99" s="42"/>
      <c r="AE99" s="42"/>
      <c r="AF99" s="42"/>
    </row>
    <row r="100" spans="1:36">
      <c r="A100" s="760" t="s">
        <v>269</v>
      </c>
      <c r="B100" s="760"/>
      <c r="C100" s="760"/>
      <c r="D100" s="760"/>
      <c r="E100" s="760"/>
      <c r="F100" s="760"/>
      <c r="G100" s="760"/>
      <c r="H100" s="760"/>
      <c r="I100" s="760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</row>
    <row r="101" spans="1:36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</row>
    <row r="102" spans="1:36" ht="18.75" customHeight="1">
      <c r="A102" s="727" t="s">
        <v>40</v>
      </c>
      <c r="B102" s="811" t="s">
        <v>165</v>
      </c>
      <c r="C102" s="812"/>
      <c r="D102" s="813"/>
      <c r="E102" s="705" t="s">
        <v>158</v>
      </c>
      <c r="F102" s="705" t="s">
        <v>235</v>
      </c>
      <c r="G102" s="705" t="s">
        <v>166</v>
      </c>
      <c r="H102" s="736" t="s">
        <v>167</v>
      </c>
      <c r="I102" s="737"/>
      <c r="J102" s="737"/>
      <c r="K102" s="737"/>
      <c r="L102" s="738"/>
      <c r="M102" s="690"/>
      <c r="N102" s="690"/>
      <c r="O102" s="690"/>
      <c r="P102" s="690"/>
      <c r="Q102" s="690"/>
      <c r="R102" s="690"/>
      <c r="S102" s="690"/>
      <c r="T102" s="690"/>
      <c r="U102" s="690"/>
      <c r="V102" s="690"/>
      <c r="W102" s="690"/>
      <c r="X102" s="690"/>
      <c r="Y102" s="672"/>
      <c r="Z102" s="672"/>
      <c r="AA102" s="672"/>
      <c r="AB102" s="672"/>
      <c r="AC102" s="672"/>
      <c r="AD102" s="672"/>
      <c r="AE102" s="672"/>
      <c r="AF102" s="672"/>
      <c r="AJ102" s="2" t="s">
        <v>333</v>
      </c>
    </row>
    <row r="103" spans="1:36" ht="18.75" customHeight="1">
      <c r="A103" s="807"/>
      <c r="B103" s="814"/>
      <c r="C103" s="815"/>
      <c r="D103" s="816"/>
      <c r="E103" s="808"/>
      <c r="F103" s="808"/>
      <c r="G103" s="808"/>
      <c r="H103" s="705" t="s">
        <v>168</v>
      </c>
      <c r="I103" s="736" t="s">
        <v>85</v>
      </c>
      <c r="J103" s="737"/>
      <c r="K103" s="737"/>
      <c r="L103" s="738"/>
      <c r="M103" s="690"/>
      <c r="N103" s="690"/>
      <c r="O103" s="690"/>
      <c r="P103" s="690"/>
      <c r="Q103" s="690"/>
      <c r="R103" s="690"/>
      <c r="S103" s="690"/>
      <c r="T103" s="690"/>
      <c r="U103" s="690"/>
      <c r="V103" s="690"/>
      <c r="W103" s="690"/>
      <c r="X103" s="690"/>
      <c r="Y103" s="672"/>
      <c r="Z103" s="672"/>
      <c r="AA103" s="672"/>
      <c r="AB103" s="672"/>
      <c r="AC103" s="672"/>
      <c r="AD103" s="672"/>
      <c r="AE103" s="672"/>
      <c r="AF103" s="672"/>
    </row>
    <row r="104" spans="1:36">
      <c r="A104" s="806"/>
      <c r="B104" s="817"/>
      <c r="C104" s="818"/>
      <c r="D104" s="819"/>
      <c r="E104" s="706"/>
      <c r="F104" s="706"/>
      <c r="G104" s="706"/>
      <c r="H104" s="706"/>
      <c r="I104" s="674" t="s">
        <v>252</v>
      </c>
      <c r="J104" s="674" t="s">
        <v>253</v>
      </c>
      <c r="K104" s="674" t="s">
        <v>254</v>
      </c>
      <c r="L104" s="674" t="s">
        <v>255</v>
      </c>
      <c r="M104" s="690"/>
      <c r="N104" s="690"/>
      <c r="O104" s="690"/>
      <c r="P104" s="690"/>
      <c r="Q104" s="690"/>
      <c r="R104" s="690"/>
      <c r="S104" s="690"/>
      <c r="T104" s="690"/>
      <c r="U104" s="690"/>
      <c r="V104" s="690"/>
      <c r="W104" s="690"/>
      <c r="X104" s="690"/>
      <c r="Y104" s="672"/>
      <c r="Z104" s="672"/>
      <c r="AA104" s="672"/>
      <c r="AB104" s="672"/>
      <c r="AC104" s="672"/>
      <c r="AD104" s="672"/>
      <c r="AE104" s="672"/>
      <c r="AF104" s="672"/>
    </row>
    <row r="105" spans="1:36">
      <c r="A105" s="207">
        <v>1</v>
      </c>
      <c r="B105" s="754">
        <v>2</v>
      </c>
      <c r="C105" s="755"/>
      <c r="D105" s="756"/>
      <c r="E105" s="66">
        <v>3</v>
      </c>
      <c r="F105" s="66">
        <v>4</v>
      </c>
      <c r="G105" s="66">
        <v>5</v>
      </c>
      <c r="H105" s="66">
        <v>6</v>
      </c>
      <c r="I105" s="66">
        <v>7</v>
      </c>
      <c r="J105" s="66">
        <v>8</v>
      </c>
      <c r="K105" s="66">
        <v>9</v>
      </c>
      <c r="L105" s="66">
        <v>10</v>
      </c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679"/>
      <c r="AB105" s="679"/>
      <c r="AC105" s="679"/>
      <c r="AD105" s="679"/>
      <c r="AE105" s="679"/>
      <c r="AF105" s="679"/>
    </row>
    <row r="106" spans="1:36">
      <c r="A106" s="212"/>
      <c r="B106" s="757"/>
      <c r="C106" s="758"/>
      <c r="D106" s="759"/>
      <c r="E106" s="213"/>
      <c r="F106" s="213"/>
      <c r="G106" s="213"/>
      <c r="H106" s="214">
        <f>SUM(I106:L106)</f>
        <v>0</v>
      </c>
      <c r="I106" s="72"/>
      <c r="J106" s="72"/>
      <c r="K106" s="72"/>
      <c r="L106" s="72"/>
      <c r="M106" s="78"/>
      <c r="N106" s="78"/>
      <c r="O106" s="78"/>
      <c r="P106" s="78"/>
      <c r="Q106" s="78"/>
      <c r="R106" s="79"/>
      <c r="S106" s="79"/>
      <c r="T106" s="79"/>
      <c r="U106" s="79"/>
      <c r="V106" s="79"/>
      <c r="W106" s="79"/>
      <c r="X106" s="79"/>
      <c r="Y106" s="77"/>
      <c r="Z106" s="77"/>
      <c r="AA106" s="77"/>
      <c r="AB106" s="77"/>
      <c r="AC106" s="77"/>
      <c r="AD106" s="77"/>
      <c r="AE106" s="77"/>
      <c r="AF106" s="77"/>
    </row>
    <row r="107" spans="1:36" hidden="1">
      <c r="A107" s="212"/>
      <c r="B107" s="757"/>
      <c r="C107" s="758"/>
      <c r="D107" s="759"/>
      <c r="E107" s="213"/>
      <c r="F107" s="213"/>
      <c r="G107" s="213"/>
      <c r="H107" s="214">
        <f>SUM(I107:L107)</f>
        <v>0</v>
      </c>
      <c r="I107" s="72"/>
      <c r="J107" s="72"/>
      <c r="K107" s="72"/>
      <c r="L107" s="72"/>
      <c r="M107" s="78"/>
      <c r="N107" s="78"/>
      <c r="O107" s="78"/>
      <c r="P107" s="78"/>
      <c r="Q107" s="78"/>
      <c r="R107" s="79"/>
      <c r="S107" s="79"/>
      <c r="T107" s="79"/>
      <c r="U107" s="79"/>
      <c r="V107" s="79"/>
      <c r="W107" s="79"/>
      <c r="X107" s="79"/>
      <c r="Y107" s="77"/>
      <c r="Z107" s="77"/>
      <c r="AA107" s="77"/>
      <c r="AB107" s="77"/>
      <c r="AC107" s="77"/>
      <c r="AD107" s="77"/>
      <c r="AE107" s="77"/>
      <c r="AF107" s="77"/>
    </row>
    <row r="108" spans="1:36" hidden="1">
      <c r="A108" s="212"/>
      <c r="B108" s="757"/>
      <c r="C108" s="758"/>
      <c r="D108" s="759"/>
      <c r="E108" s="213"/>
      <c r="F108" s="213"/>
      <c r="G108" s="213"/>
      <c r="H108" s="214">
        <f>SUM(I108:L108)</f>
        <v>0</v>
      </c>
      <c r="I108" s="72"/>
      <c r="J108" s="72"/>
      <c r="K108" s="72"/>
      <c r="L108" s="72"/>
      <c r="M108" s="78"/>
      <c r="N108" s="78"/>
      <c r="O108" s="78"/>
      <c r="P108" s="78"/>
      <c r="Q108" s="78"/>
      <c r="R108" s="79"/>
      <c r="S108" s="79"/>
      <c r="T108" s="79"/>
      <c r="U108" s="79"/>
      <c r="V108" s="79"/>
      <c r="W108" s="79"/>
      <c r="X108" s="79"/>
      <c r="Y108" s="77"/>
      <c r="Z108" s="77"/>
      <c r="AA108" s="77"/>
      <c r="AB108" s="77"/>
      <c r="AC108" s="77"/>
      <c r="AD108" s="77"/>
      <c r="AE108" s="77"/>
      <c r="AF108" s="77"/>
    </row>
    <row r="109" spans="1:36" hidden="1">
      <c r="A109" s="212"/>
      <c r="B109" s="757"/>
      <c r="C109" s="758"/>
      <c r="D109" s="759"/>
      <c r="E109" s="213"/>
      <c r="F109" s="213"/>
      <c r="G109" s="213"/>
      <c r="H109" s="214">
        <f>SUM(I109:L109)</f>
        <v>0</v>
      </c>
      <c r="I109" s="72"/>
      <c r="J109" s="72"/>
      <c r="K109" s="72"/>
      <c r="L109" s="72"/>
      <c r="M109" s="78"/>
      <c r="N109" s="78"/>
      <c r="O109" s="78"/>
      <c r="P109" s="78"/>
      <c r="Q109" s="78"/>
      <c r="R109" s="79"/>
      <c r="S109" s="79"/>
      <c r="T109" s="79"/>
      <c r="U109" s="79"/>
      <c r="V109" s="79"/>
      <c r="W109" s="79"/>
      <c r="X109" s="79"/>
      <c r="Y109" s="77"/>
      <c r="Z109" s="77"/>
      <c r="AA109" s="77"/>
      <c r="AB109" s="77"/>
      <c r="AC109" s="77"/>
      <c r="AD109" s="77"/>
      <c r="AE109" s="77"/>
      <c r="AF109" s="77"/>
    </row>
    <row r="110" spans="1:36">
      <c r="A110" s="73" t="s">
        <v>45</v>
      </c>
      <c r="B110" s="762"/>
      <c r="C110" s="763"/>
      <c r="D110" s="759"/>
      <c r="E110" s="73"/>
      <c r="F110" s="73"/>
      <c r="G110" s="73"/>
      <c r="H110" s="215">
        <f>H106+H107+H108+H109</f>
        <v>0</v>
      </c>
      <c r="I110" s="73"/>
      <c r="J110" s="73"/>
      <c r="K110" s="73"/>
      <c r="L110" s="73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680"/>
      <c r="Z110" s="680"/>
      <c r="AA110" s="680"/>
      <c r="AB110" s="680"/>
      <c r="AC110" s="680"/>
      <c r="AD110" s="680"/>
      <c r="AE110" s="680"/>
      <c r="AF110" s="680"/>
    </row>
    <row r="111" spans="1:36" ht="17.25" customHeight="1">
      <c r="A111" s="672"/>
      <c r="B111" s="672"/>
      <c r="C111" s="672"/>
      <c r="D111" s="672"/>
      <c r="E111" s="672"/>
      <c r="F111" s="672"/>
      <c r="G111" s="672"/>
      <c r="H111" s="672"/>
      <c r="I111" s="672"/>
      <c r="J111" s="672"/>
      <c r="K111" s="672"/>
      <c r="L111" s="672"/>
      <c r="M111" s="672"/>
      <c r="N111" s="672"/>
      <c r="O111" s="672"/>
      <c r="P111" s="672"/>
      <c r="R111" s="24"/>
      <c r="S111" s="24"/>
      <c r="T111" s="24"/>
      <c r="U111" s="24"/>
      <c r="V111" s="24"/>
      <c r="W111" s="24"/>
      <c r="X111" s="24"/>
      <c r="AF111" s="24"/>
    </row>
    <row r="112" spans="1:36" ht="28.5" hidden="1" customHeight="1">
      <c r="A112" s="672"/>
      <c r="B112" s="672"/>
      <c r="C112" s="672"/>
      <c r="D112" s="672"/>
      <c r="E112" s="672"/>
      <c r="F112" s="672"/>
      <c r="G112" s="672"/>
      <c r="H112" s="672"/>
      <c r="I112" s="672"/>
      <c r="J112" s="672"/>
      <c r="K112" s="672"/>
      <c r="L112" s="672"/>
      <c r="M112" s="672"/>
      <c r="N112" s="672"/>
      <c r="O112" s="672"/>
      <c r="P112" s="672"/>
      <c r="R112" s="24"/>
      <c r="S112" s="24"/>
      <c r="T112" s="24"/>
      <c r="U112" s="24"/>
      <c r="V112" s="24"/>
      <c r="W112" s="24"/>
      <c r="X112" s="24"/>
      <c r="AF112" s="24"/>
    </row>
    <row r="113" spans="1:32" s="225" customFormat="1">
      <c r="A113" s="760" t="s">
        <v>247</v>
      </c>
      <c r="B113" s="760"/>
      <c r="C113" s="760"/>
      <c r="D113" s="760"/>
      <c r="E113" s="760"/>
      <c r="F113" s="760"/>
      <c r="G113" s="760"/>
      <c r="H113" s="686"/>
      <c r="I113" s="686"/>
      <c r="J113" s="686"/>
      <c r="K113" s="686"/>
      <c r="L113" s="686"/>
      <c r="M113" s="686"/>
      <c r="N113" s="686"/>
      <c r="O113" s="686"/>
      <c r="P113" s="686"/>
      <c r="Q113" s="686"/>
      <c r="R113" s="686"/>
      <c r="S113" s="686"/>
      <c r="T113" s="686"/>
      <c r="U113" s="686"/>
      <c r="V113" s="686"/>
      <c r="W113" s="686"/>
      <c r="X113" s="686"/>
      <c r="Y113" s="686"/>
      <c r="Z113" s="686"/>
      <c r="AA113" s="686"/>
      <c r="AB113" s="686"/>
      <c r="AC113" s="686"/>
      <c r="AD113" s="686"/>
      <c r="AE113" s="686"/>
      <c r="AF113" s="686"/>
    </row>
    <row r="114" spans="1:32">
      <c r="A114" s="22"/>
      <c r="B114" s="22"/>
      <c r="C114" s="22"/>
      <c r="D114" s="22"/>
      <c r="E114" s="22"/>
      <c r="F114" s="22"/>
      <c r="G114" s="22"/>
      <c r="H114" s="22"/>
      <c r="I114" s="478"/>
      <c r="J114" s="478"/>
      <c r="K114" s="478"/>
      <c r="L114" s="478"/>
      <c r="M114" s="478"/>
      <c r="N114" s="478"/>
      <c r="O114" s="478"/>
      <c r="P114" s="478"/>
      <c r="Q114" s="478"/>
      <c r="R114" s="478"/>
      <c r="S114" s="478"/>
      <c r="T114" s="478"/>
      <c r="U114" s="478"/>
      <c r="V114" s="478"/>
      <c r="W114" s="478"/>
      <c r="X114" s="478"/>
      <c r="Y114" s="22"/>
      <c r="Z114" s="823" t="s">
        <v>184</v>
      </c>
      <c r="AA114" s="823"/>
      <c r="AB114" s="823"/>
      <c r="AC114" s="823"/>
      <c r="AD114" s="823"/>
      <c r="AE114" s="823"/>
      <c r="AF114" s="823"/>
    </row>
    <row r="115" spans="1:32" ht="18.75" customHeight="1">
      <c r="A115" s="804" t="s">
        <v>40</v>
      </c>
      <c r="B115" s="764" t="s">
        <v>185</v>
      </c>
      <c r="C115" s="765"/>
      <c r="D115" s="766"/>
      <c r="E115" s="736" t="s">
        <v>44</v>
      </c>
      <c r="F115" s="737"/>
      <c r="G115" s="737"/>
      <c r="H115" s="737"/>
      <c r="I115" s="738"/>
      <c r="J115" s="831" t="s">
        <v>378</v>
      </c>
      <c r="K115" s="832"/>
      <c r="L115" s="832"/>
      <c r="M115" s="832"/>
      <c r="N115" s="833"/>
      <c r="O115" s="820" t="s">
        <v>210</v>
      </c>
      <c r="P115" s="821"/>
      <c r="Q115" s="821"/>
      <c r="R115" s="821"/>
      <c r="S115" s="821"/>
      <c r="T115" s="822"/>
      <c r="U115" s="799" t="s">
        <v>111</v>
      </c>
      <c r="V115" s="800"/>
      <c r="W115" s="800"/>
      <c r="X115" s="800"/>
      <c r="Y115" s="800"/>
      <c r="Z115" s="800"/>
      <c r="AA115" s="801"/>
      <c r="AB115" s="697" t="s">
        <v>45</v>
      </c>
      <c r="AC115" s="697"/>
      <c r="AD115" s="697"/>
      <c r="AE115" s="697"/>
      <c r="AF115" s="697"/>
    </row>
    <row r="116" spans="1:32">
      <c r="A116" s="804"/>
      <c r="B116" s="767"/>
      <c r="C116" s="768"/>
      <c r="D116" s="769"/>
      <c r="E116" s="705" t="s">
        <v>115</v>
      </c>
      <c r="F116" s="736" t="s">
        <v>85</v>
      </c>
      <c r="G116" s="737"/>
      <c r="H116" s="737"/>
      <c r="I116" s="738"/>
      <c r="J116" s="705" t="s">
        <v>115</v>
      </c>
      <c r="K116" s="736" t="s">
        <v>85</v>
      </c>
      <c r="L116" s="798"/>
      <c r="M116" s="798"/>
      <c r="N116" s="745"/>
      <c r="O116" s="705" t="s">
        <v>115</v>
      </c>
      <c r="P116" s="682"/>
      <c r="Q116" s="736" t="s">
        <v>85</v>
      </c>
      <c r="R116" s="737"/>
      <c r="S116" s="737"/>
      <c r="T116" s="738"/>
      <c r="U116" s="705" t="s">
        <v>115</v>
      </c>
      <c r="V116" s="682"/>
      <c r="W116" s="682"/>
      <c r="X116" s="736" t="s">
        <v>85</v>
      </c>
      <c r="Y116" s="737"/>
      <c r="Z116" s="737"/>
      <c r="AA116" s="738"/>
      <c r="AB116" s="697" t="s">
        <v>115</v>
      </c>
      <c r="AC116" s="697" t="s">
        <v>85</v>
      </c>
      <c r="AD116" s="697"/>
      <c r="AE116" s="697"/>
      <c r="AF116" s="697"/>
    </row>
    <row r="117" spans="1:32">
      <c r="A117" s="804"/>
      <c r="B117" s="770"/>
      <c r="C117" s="771"/>
      <c r="D117" s="772"/>
      <c r="E117" s="761"/>
      <c r="F117" s="674" t="s">
        <v>256</v>
      </c>
      <c r="G117" s="674" t="s">
        <v>253</v>
      </c>
      <c r="H117" s="674" t="s">
        <v>254</v>
      </c>
      <c r="I117" s="674" t="s">
        <v>255</v>
      </c>
      <c r="J117" s="761"/>
      <c r="K117" s="674" t="s">
        <v>256</v>
      </c>
      <c r="L117" s="674" t="s">
        <v>253</v>
      </c>
      <c r="M117" s="674" t="s">
        <v>254</v>
      </c>
      <c r="N117" s="674" t="s">
        <v>255</v>
      </c>
      <c r="O117" s="761"/>
      <c r="P117" s="684"/>
      <c r="Q117" s="674" t="s">
        <v>65</v>
      </c>
      <c r="R117" s="674" t="s">
        <v>66</v>
      </c>
      <c r="S117" s="674" t="s">
        <v>64</v>
      </c>
      <c r="T117" s="674" t="s">
        <v>61</v>
      </c>
      <c r="U117" s="761"/>
      <c r="V117" s="684"/>
      <c r="W117" s="684"/>
      <c r="X117" s="674" t="s">
        <v>65</v>
      </c>
      <c r="Y117" s="674" t="s">
        <v>66</v>
      </c>
      <c r="Z117" s="674" t="s">
        <v>64</v>
      </c>
      <c r="AA117" s="674" t="s">
        <v>61</v>
      </c>
      <c r="AB117" s="697"/>
      <c r="AC117" s="674" t="s">
        <v>65</v>
      </c>
      <c r="AD117" s="674" t="s">
        <v>66</v>
      </c>
      <c r="AE117" s="674" t="s">
        <v>64</v>
      </c>
      <c r="AF117" s="674" t="s">
        <v>61</v>
      </c>
    </row>
    <row r="118" spans="1:32">
      <c r="A118" s="687">
        <v>1</v>
      </c>
      <c r="B118" s="773">
        <v>2</v>
      </c>
      <c r="C118" s="774"/>
      <c r="D118" s="775"/>
      <c r="E118" s="674">
        <v>3</v>
      </c>
      <c r="F118" s="674">
        <v>4</v>
      </c>
      <c r="G118" s="674">
        <v>5</v>
      </c>
      <c r="H118" s="674">
        <v>6</v>
      </c>
      <c r="I118" s="674">
        <v>7</v>
      </c>
      <c r="J118" s="674">
        <v>8</v>
      </c>
      <c r="K118" s="674">
        <v>9</v>
      </c>
      <c r="L118" s="674">
        <v>10</v>
      </c>
      <c r="M118" s="674">
        <v>11</v>
      </c>
      <c r="N118" s="674">
        <v>12</v>
      </c>
      <c r="O118" s="674">
        <v>13</v>
      </c>
      <c r="P118" s="674"/>
      <c r="Q118" s="674">
        <v>14</v>
      </c>
      <c r="R118" s="674">
        <v>15</v>
      </c>
      <c r="S118" s="674">
        <v>16</v>
      </c>
      <c r="T118" s="674">
        <v>17</v>
      </c>
      <c r="U118" s="674">
        <v>18</v>
      </c>
      <c r="V118" s="674"/>
      <c r="W118" s="674"/>
      <c r="X118" s="674">
        <v>19</v>
      </c>
      <c r="Y118" s="673">
        <v>20</v>
      </c>
      <c r="Z118" s="673">
        <v>21</v>
      </c>
      <c r="AA118" s="673">
        <v>22</v>
      </c>
      <c r="AB118" s="673">
        <v>23</v>
      </c>
      <c r="AC118" s="673">
        <v>24</v>
      </c>
      <c r="AD118" s="673">
        <v>25</v>
      </c>
      <c r="AE118" s="673">
        <v>26</v>
      </c>
      <c r="AF118" s="673">
        <v>27</v>
      </c>
    </row>
    <row r="119" spans="1:32" ht="63.75" customHeight="1">
      <c r="A119" s="16"/>
      <c r="B119" s="751" t="s">
        <v>449</v>
      </c>
      <c r="C119" s="752"/>
      <c r="D119" s="753"/>
      <c r="E119" s="214">
        <f>F119+G119+H119+I119</f>
        <v>0</v>
      </c>
      <c r="F119" s="216"/>
      <c r="G119" s="216"/>
      <c r="H119" s="217"/>
      <c r="I119" s="217"/>
      <c r="J119" s="488">
        <f>K119+L119+M119+N119</f>
        <v>0</v>
      </c>
      <c r="K119" s="488"/>
      <c r="L119" s="488"/>
      <c r="M119" s="488"/>
      <c r="N119" s="488"/>
      <c r="O119" s="488">
        <f>Q119+R119+S119+T119</f>
        <v>1600</v>
      </c>
      <c r="P119" s="488"/>
      <c r="Q119" s="489">
        <v>400</v>
      </c>
      <c r="R119" s="489">
        <v>400</v>
      </c>
      <c r="S119" s="489">
        <v>400</v>
      </c>
      <c r="T119" s="489">
        <v>400</v>
      </c>
      <c r="U119" s="488">
        <f>X119+Y119+Z119+AA119</f>
        <v>0</v>
      </c>
      <c r="V119" s="488"/>
      <c r="W119" s="488"/>
      <c r="X119" s="489"/>
      <c r="Y119" s="489"/>
      <c r="Z119" s="489"/>
      <c r="AA119" s="489"/>
      <c r="AB119" s="488">
        <f>E119+J119+O119+U119</f>
        <v>1600</v>
      </c>
      <c r="AC119" s="569">
        <f t="shared" ref="AC119:AF123" si="9">F119+K119+Q119+X119</f>
        <v>400</v>
      </c>
      <c r="AD119" s="569">
        <f t="shared" si="9"/>
        <v>400</v>
      </c>
      <c r="AE119" s="569">
        <f t="shared" si="9"/>
        <v>400</v>
      </c>
      <c r="AF119" s="569">
        <f t="shared" si="9"/>
        <v>400</v>
      </c>
    </row>
    <row r="120" spans="1:32" ht="50.25" customHeight="1">
      <c r="A120" s="16"/>
      <c r="B120" s="776" t="s">
        <v>16</v>
      </c>
      <c r="C120" s="777"/>
      <c r="D120" s="778"/>
      <c r="E120" s="214">
        <f>F120+G120+H120+I120</f>
        <v>0</v>
      </c>
      <c r="F120" s="216"/>
      <c r="G120" s="216"/>
      <c r="H120" s="217"/>
      <c r="I120" s="217"/>
      <c r="J120" s="488">
        <f>K120+L120+M120+N120</f>
        <v>0</v>
      </c>
      <c r="K120" s="488"/>
      <c r="L120" s="488"/>
      <c r="M120" s="488"/>
      <c r="N120" s="488"/>
      <c r="O120" s="488">
        <f>Q120+R120+S120+T120</f>
        <v>400</v>
      </c>
      <c r="P120" s="488"/>
      <c r="Q120" s="489">
        <v>100</v>
      </c>
      <c r="R120" s="489">
        <v>100</v>
      </c>
      <c r="S120" s="489">
        <v>100</v>
      </c>
      <c r="T120" s="489">
        <v>100</v>
      </c>
      <c r="U120" s="488">
        <f>X120+Y120+Z120+AA120</f>
        <v>0</v>
      </c>
      <c r="V120" s="488"/>
      <c r="W120" s="488"/>
      <c r="X120" s="489"/>
      <c r="Y120" s="489"/>
      <c r="Z120" s="489"/>
      <c r="AA120" s="489"/>
      <c r="AB120" s="488">
        <f>E120+J120+O120+U120</f>
        <v>400</v>
      </c>
      <c r="AC120" s="569">
        <f t="shared" si="9"/>
        <v>100</v>
      </c>
      <c r="AD120" s="569">
        <f t="shared" si="9"/>
        <v>100</v>
      </c>
      <c r="AE120" s="569">
        <f t="shared" si="9"/>
        <v>100</v>
      </c>
      <c r="AF120" s="569">
        <f t="shared" si="9"/>
        <v>100</v>
      </c>
    </row>
    <row r="121" spans="1:32" ht="39" customHeight="1">
      <c r="B121" s="751" t="s">
        <v>450</v>
      </c>
      <c r="C121" s="752"/>
      <c r="D121" s="753"/>
      <c r="E121" s="214">
        <f>F121+G121+H121+I121</f>
        <v>0</v>
      </c>
      <c r="F121" s="216"/>
      <c r="G121" s="216"/>
      <c r="H121" s="217"/>
      <c r="I121" s="217"/>
      <c r="J121" s="488">
        <f>K121+L121+M121+N121</f>
        <v>3710</v>
      </c>
      <c r="K121" s="488">
        <f>'4. Кап. інвестиції'!G18</f>
        <v>3710</v>
      </c>
      <c r="L121" s="488">
        <f>'4. Кап. інвестиції'!H18</f>
        <v>0</v>
      </c>
      <c r="M121" s="488">
        <f>'4. Кап. інвестиції'!I18</f>
        <v>0</v>
      </c>
      <c r="N121" s="488"/>
      <c r="O121" s="488">
        <f>Q121+R121+S121+T121</f>
        <v>0</v>
      </c>
      <c r="P121" s="488"/>
      <c r="Q121" s="489"/>
      <c r="R121" s="489"/>
      <c r="S121" s="489"/>
      <c r="T121" s="489"/>
      <c r="U121" s="488">
        <f>X121+Y121+Z121+AA121</f>
        <v>0</v>
      </c>
      <c r="V121" s="488"/>
      <c r="W121" s="488"/>
      <c r="X121" s="489"/>
      <c r="Y121" s="489"/>
      <c r="Z121" s="489"/>
      <c r="AA121" s="489"/>
      <c r="AB121" s="488">
        <f>E121+J121+O121+U121</f>
        <v>3710</v>
      </c>
      <c r="AC121" s="569">
        <f t="shared" si="9"/>
        <v>3710</v>
      </c>
      <c r="AD121" s="569">
        <f t="shared" si="9"/>
        <v>0</v>
      </c>
      <c r="AE121" s="569">
        <f t="shared" si="9"/>
        <v>0</v>
      </c>
      <c r="AF121" s="569">
        <f t="shared" si="9"/>
        <v>0</v>
      </c>
    </row>
    <row r="122" spans="1:32" hidden="1">
      <c r="A122" s="64"/>
      <c r="B122" s="779"/>
      <c r="C122" s="780"/>
      <c r="D122" s="781"/>
      <c r="E122" s="214">
        <f>F122+G122+H122+I122</f>
        <v>0</v>
      </c>
      <c r="F122" s="216"/>
      <c r="G122" s="216"/>
      <c r="H122" s="217"/>
      <c r="I122" s="217"/>
      <c r="J122" s="101">
        <f>K122+L122+M122+N122</f>
        <v>0</v>
      </c>
      <c r="K122" s="101"/>
      <c r="L122" s="101"/>
      <c r="M122" s="101"/>
      <c r="N122" s="101"/>
      <c r="O122" s="101">
        <f>Q122+R122+S122+T122</f>
        <v>0</v>
      </c>
      <c r="P122" s="101"/>
      <c r="Q122" s="102"/>
      <c r="R122" s="102"/>
      <c r="S122" s="102"/>
      <c r="T122" s="102"/>
      <c r="U122" s="101">
        <f>X122+Y122+Z122+AA122</f>
        <v>0</v>
      </c>
      <c r="V122" s="101"/>
      <c r="W122" s="101"/>
      <c r="X122" s="102"/>
      <c r="Y122" s="102"/>
      <c r="Z122" s="102"/>
      <c r="AA122" s="102"/>
      <c r="AB122" s="101">
        <f>E122+J122+O122+U122</f>
        <v>0</v>
      </c>
      <c r="AC122" s="357">
        <f t="shared" si="9"/>
        <v>0</v>
      </c>
      <c r="AD122" s="357">
        <f t="shared" si="9"/>
        <v>0</v>
      </c>
      <c r="AE122" s="357">
        <f t="shared" si="9"/>
        <v>0</v>
      </c>
      <c r="AF122" s="357">
        <f t="shared" si="9"/>
        <v>0</v>
      </c>
    </row>
    <row r="123" spans="1:32" s="17" customFormat="1">
      <c r="A123" s="227" t="s">
        <v>45</v>
      </c>
      <c r="B123" s="783"/>
      <c r="C123" s="784"/>
      <c r="D123" s="785"/>
      <c r="E123" s="228">
        <f>SUM(E119:E122)</f>
        <v>0</v>
      </c>
      <c r="F123" s="227"/>
      <c r="G123" s="358"/>
      <c r="H123" s="359"/>
      <c r="I123" s="359"/>
      <c r="J123" s="360">
        <f>SUM(J119:J122)</f>
        <v>3710</v>
      </c>
      <c r="K123" s="360">
        <f t="shared" ref="K123:AA123" si="10">SUM(K119:K122)</f>
        <v>3710</v>
      </c>
      <c r="L123" s="360">
        <f t="shared" si="10"/>
        <v>0</v>
      </c>
      <c r="M123" s="360">
        <f t="shared" si="10"/>
        <v>0</v>
      </c>
      <c r="N123" s="360">
        <f t="shared" si="10"/>
        <v>0</v>
      </c>
      <c r="O123" s="360">
        <f t="shared" si="10"/>
        <v>2000</v>
      </c>
      <c r="P123" s="360"/>
      <c r="Q123" s="360">
        <f t="shared" si="10"/>
        <v>500</v>
      </c>
      <c r="R123" s="360">
        <f t="shared" si="10"/>
        <v>500</v>
      </c>
      <c r="S123" s="360">
        <f t="shared" si="10"/>
        <v>500</v>
      </c>
      <c r="T123" s="360">
        <f t="shared" si="10"/>
        <v>500</v>
      </c>
      <c r="U123" s="360">
        <f t="shared" si="10"/>
        <v>0</v>
      </c>
      <c r="V123" s="360"/>
      <c r="W123" s="360"/>
      <c r="X123" s="360">
        <f t="shared" si="10"/>
        <v>0</v>
      </c>
      <c r="Y123" s="360">
        <f t="shared" si="10"/>
        <v>0</v>
      </c>
      <c r="Z123" s="360">
        <f t="shared" si="10"/>
        <v>0</v>
      </c>
      <c r="AA123" s="360">
        <f t="shared" si="10"/>
        <v>0</v>
      </c>
      <c r="AB123" s="360">
        <f>E123+J123+O123+U123</f>
        <v>5710</v>
      </c>
      <c r="AC123" s="361">
        <f t="shared" si="9"/>
        <v>4210</v>
      </c>
      <c r="AD123" s="361">
        <f t="shared" si="9"/>
        <v>500</v>
      </c>
      <c r="AE123" s="361">
        <f t="shared" si="9"/>
        <v>500</v>
      </c>
      <c r="AF123" s="361">
        <f t="shared" si="9"/>
        <v>500</v>
      </c>
    </row>
    <row r="124" spans="1:32">
      <c r="A124" s="8" t="s">
        <v>46</v>
      </c>
      <c r="B124" s="748"/>
      <c r="C124" s="749"/>
      <c r="D124" s="782"/>
      <c r="E124" s="8"/>
      <c r="F124" s="8"/>
      <c r="G124" s="66">
        <f>G123/AB123*100</f>
        <v>0</v>
      </c>
      <c r="H124" s="362"/>
      <c r="I124" s="362"/>
      <c r="J124" s="147">
        <f>J123/AB123*100</f>
        <v>64.973730297723293</v>
      </c>
      <c r="K124" s="147">
        <f>K123/AB123*100</f>
        <v>64.973730297723293</v>
      </c>
      <c r="L124" s="147">
        <f>L123/AB123*100</f>
        <v>0</v>
      </c>
      <c r="M124" s="147">
        <f>M123/AB123*100</f>
        <v>0</v>
      </c>
      <c r="N124" s="147">
        <f>N123/AB123*100</f>
        <v>0</v>
      </c>
      <c r="O124" s="147">
        <f>O123/AB123*100</f>
        <v>35.026269702276707</v>
      </c>
      <c r="P124" s="147"/>
      <c r="Q124" s="147">
        <f>Q123/AB123*100</f>
        <v>8.7565674255691768</v>
      </c>
      <c r="R124" s="147">
        <f>R123/AB123*100</f>
        <v>8.7565674255691768</v>
      </c>
      <c r="S124" s="147">
        <f>S123/AB123*100</f>
        <v>8.7565674255691768</v>
      </c>
      <c r="T124" s="147">
        <f>T123/AB123*100</f>
        <v>8.7565674255691768</v>
      </c>
      <c r="U124" s="147">
        <f>U123/AB123*100</f>
        <v>0</v>
      </c>
      <c r="V124" s="147"/>
      <c r="W124" s="147"/>
      <c r="X124" s="147">
        <f>X123/AB123*100</f>
        <v>0</v>
      </c>
      <c r="Y124" s="147">
        <f>Y123/AB123*100</f>
        <v>0</v>
      </c>
      <c r="Z124" s="147">
        <f>Z123/AB123*100</f>
        <v>0</v>
      </c>
      <c r="AA124" s="147">
        <f>AA123/AB123*100</f>
        <v>0</v>
      </c>
      <c r="AB124" s="147">
        <v>100</v>
      </c>
      <c r="AC124" s="147">
        <f>AC123/AB123*100</f>
        <v>73.730297723292466</v>
      </c>
      <c r="AD124" s="147">
        <f>AD123/AB123*100</f>
        <v>8.7565674255691768</v>
      </c>
      <c r="AE124" s="147">
        <f>AE123/AB123*100</f>
        <v>8.7565674255691768</v>
      </c>
      <c r="AF124" s="147">
        <f>AF123/AB123*100</f>
        <v>8.7565674255691768</v>
      </c>
    </row>
    <row r="125" spans="1:32" ht="13.5" customHeight="1">
      <c r="F125" s="829"/>
      <c r="G125" s="830"/>
      <c r="H125" s="830"/>
      <c r="I125" s="830"/>
    </row>
    <row r="126" spans="1:32" ht="18.75" hidden="1" customHeight="1">
      <c r="F126" s="675"/>
      <c r="G126" s="218"/>
      <c r="H126" s="218"/>
      <c r="I126" s="218"/>
    </row>
    <row r="127" spans="1:32" s="225" customFormat="1">
      <c r="A127" s="235" t="s">
        <v>272</v>
      </c>
      <c r="B127" s="226"/>
      <c r="C127" s="226"/>
      <c r="D127" s="226"/>
    </row>
    <row r="128" spans="1:32" ht="18" customHeight="1">
      <c r="A128" s="17"/>
    </row>
    <row r="129" spans="1:36" hidden="1">
      <c r="A129" s="17"/>
      <c r="X129" s="2" t="s">
        <v>286</v>
      </c>
    </row>
    <row r="130" spans="1:36" ht="18.75" customHeight="1">
      <c r="A130" s="696" t="s">
        <v>40</v>
      </c>
      <c r="B130" s="786" t="s">
        <v>276</v>
      </c>
      <c r="C130" s="787"/>
      <c r="D130" s="788"/>
      <c r="E130" s="705" t="s">
        <v>277</v>
      </c>
      <c r="F130" s="705" t="s">
        <v>278</v>
      </c>
      <c r="G130" s="705" t="s">
        <v>273</v>
      </c>
      <c r="H130" s="705" t="s">
        <v>274</v>
      </c>
      <c r="I130" s="736" t="s">
        <v>115</v>
      </c>
      <c r="J130" s="737"/>
      <c r="K130" s="737"/>
      <c r="L130" s="737"/>
      <c r="M130" s="738"/>
      <c r="N130" s="786" t="s">
        <v>279</v>
      </c>
      <c r="O130" s="797"/>
      <c r="P130" s="797"/>
      <c r="Q130" s="788"/>
      <c r="R130" s="697" t="s">
        <v>280</v>
      </c>
      <c r="S130" s="697"/>
      <c r="T130" s="697"/>
      <c r="U130" s="697"/>
      <c r="V130" s="697"/>
      <c r="W130" s="697"/>
      <c r="X130" s="697"/>
      <c r="Y130" s="697"/>
      <c r="Z130" s="672"/>
      <c r="AA130" s="672"/>
      <c r="AB130" s="672"/>
      <c r="AC130" s="672"/>
      <c r="AD130" s="672"/>
      <c r="AE130" s="672"/>
      <c r="AF130" s="672"/>
      <c r="AG130" s="672"/>
      <c r="AH130" s="672"/>
      <c r="AI130" s="672"/>
      <c r="AJ130" s="672"/>
    </row>
    <row r="131" spans="1:36">
      <c r="A131" s="696"/>
      <c r="B131" s="789"/>
      <c r="C131" s="790"/>
      <c r="D131" s="791"/>
      <c r="E131" s="805"/>
      <c r="F131" s="805"/>
      <c r="G131" s="805"/>
      <c r="H131" s="805"/>
      <c r="I131" s="705" t="s">
        <v>275</v>
      </c>
      <c r="J131" s="705" t="s">
        <v>281</v>
      </c>
      <c r="K131" s="736" t="s">
        <v>285</v>
      </c>
      <c r="L131" s="798"/>
      <c r="M131" s="745"/>
      <c r="N131" s="834"/>
      <c r="O131" s="835"/>
      <c r="P131" s="835"/>
      <c r="Q131" s="791"/>
      <c r="R131" s="697"/>
      <c r="S131" s="697"/>
      <c r="T131" s="697"/>
      <c r="U131" s="697"/>
      <c r="V131" s="697"/>
      <c r="W131" s="697"/>
      <c r="X131" s="697"/>
      <c r="Y131" s="697"/>
      <c r="Z131" s="672"/>
      <c r="AA131" s="672"/>
      <c r="AB131" s="672"/>
      <c r="AC131" s="672"/>
      <c r="AD131" s="672"/>
      <c r="AE131" s="672"/>
      <c r="AF131" s="672"/>
      <c r="AG131" s="672"/>
      <c r="AH131" s="672"/>
      <c r="AI131" s="672"/>
      <c r="AJ131" s="672"/>
    </row>
    <row r="132" spans="1:36" ht="96.75" customHeight="1">
      <c r="A132" s="696"/>
      <c r="B132" s="792"/>
      <c r="C132" s="793"/>
      <c r="D132" s="794"/>
      <c r="E132" s="761"/>
      <c r="F132" s="761"/>
      <c r="G132" s="761"/>
      <c r="H132" s="761"/>
      <c r="I132" s="761"/>
      <c r="J132" s="761"/>
      <c r="K132" s="676" t="s">
        <v>282</v>
      </c>
      <c r="L132" s="674" t="s">
        <v>283</v>
      </c>
      <c r="M132" s="674" t="s">
        <v>284</v>
      </c>
      <c r="N132" s="836"/>
      <c r="O132" s="837"/>
      <c r="P132" s="837"/>
      <c r="Q132" s="794"/>
      <c r="R132" s="697"/>
      <c r="S132" s="697"/>
      <c r="T132" s="697"/>
      <c r="U132" s="697"/>
      <c r="V132" s="697"/>
      <c r="W132" s="697"/>
      <c r="X132" s="697"/>
      <c r="Y132" s="697"/>
      <c r="Z132" s="672"/>
      <c r="AA132" s="672"/>
      <c r="AB132" s="672"/>
      <c r="AC132" s="672"/>
      <c r="AD132" s="672"/>
      <c r="AE132" s="672"/>
      <c r="AF132" s="672"/>
      <c r="AG132" s="672"/>
      <c r="AH132" s="672"/>
      <c r="AI132" s="672"/>
      <c r="AJ132" s="672"/>
    </row>
    <row r="133" spans="1:36">
      <c r="A133" s="673">
        <v>1</v>
      </c>
      <c r="B133" s="736">
        <v>2</v>
      </c>
      <c r="C133" s="737"/>
      <c r="D133" s="745"/>
      <c r="E133" s="674">
        <v>3</v>
      </c>
      <c r="F133" s="674">
        <v>4</v>
      </c>
      <c r="G133" s="674">
        <v>5</v>
      </c>
      <c r="H133" s="674">
        <v>6</v>
      </c>
      <c r="I133" s="674">
        <v>7</v>
      </c>
      <c r="J133" s="674">
        <v>8</v>
      </c>
      <c r="K133" s="674">
        <v>9</v>
      </c>
      <c r="L133" s="674">
        <v>10</v>
      </c>
      <c r="M133" s="674">
        <v>11</v>
      </c>
      <c r="N133" s="736">
        <v>12</v>
      </c>
      <c r="O133" s="798"/>
      <c r="P133" s="798"/>
      <c r="Q133" s="745"/>
      <c r="R133" s="736">
        <v>13</v>
      </c>
      <c r="S133" s="737"/>
      <c r="T133" s="802"/>
      <c r="U133" s="802"/>
      <c r="V133" s="802"/>
      <c r="W133" s="802"/>
      <c r="X133" s="802"/>
      <c r="Y133" s="803"/>
      <c r="Z133" s="672"/>
      <c r="AA133" s="672"/>
      <c r="AB133" s="672"/>
      <c r="AC133" s="672"/>
      <c r="AD133" s="672"/>
      <c r="AE133" s="672"/>
      <c r="AF133" s="672"/>
      <c r="AG133" s="672"/>
      <c r="AH133" s="672"/>
      <c r="AI133" s="672"/>
      <c r="AJ133" s="672"/>
    </row>
    <row r="134" spans="1:36" ht="18.75" hidden="1" customHeight="1">
      <c r="A134" s="64"/>
      <c r="B134" s="795"/>
      <c r="C134" s="796"/>
      <c r="D134" s="782"/>
      <c r="E134" s="64"/>
      <c r="F134" s="64"/>
      <c r="G134" s="64"/>
      <c r="H134" s="64"/>
      <c r="I134" s="64"/>
      <c r="J134" s="64"/>
      <c r="K134" s="64"/>
      <c r="L134" s="64"/>
      <c r="M134" s="64"/>
      <c r="N134" s="746"/>
      <c r="O134" s="798"/>
      <c r="P134" s="798"/>
      <c r="Q134" s="745"/>
      <c r="R134" s="746"/>
      <c r="S134" s="747"/>
      <c r="T134" s="798"/>
      <c r="U134" s="798"/>
      <c r="V134" s="798"/>
      <c r="W134" s="798"/>
      <c r="X134" s="798"/>
      <c r="Y134" s="745"/>
      <c r="Z134" s="106"/>
      <c r="AA134" s="106"/>
      <c r="AB134" s="106"/>
      <c r="AC134" s="106"/>
      <c r="AD134" s="106"/>
      <c r="AE134" s="107"/>
      <c r="AF134" s="107"/>
      <c r="AG134" s="107"/>
      <c r="AH134" s="107"/>
      <c r="AI134" s="107"/>
      <c r="AJ134" s="107"/>
    </row>
    <row r="135" spans="1:36">
      <c r="A135" s="64"/>
      <c r="B135" s="795"/>
      <c r="C135" s="796"/>
      <c r="D135" s="782"/>
      <c r="E135" s="64"/>
      <c r="F135" s="64"/>
      <c r="G135" s="64"/>
      <c r="H135" s="64"/>
      <c r="I135" s="64"/>
      <c r="J135" s="64"/>
      <c r="K135" s="64"/>
      <c r="L135" s="64"/>
      <c r="M135" s="64"/>
      <c r="N135" s="746"/>
      <c r="O135" s="798"/>
      <c r="P135" s="798"/>
      <c r="Q135" s="745"/>
      <c r="R135" s="746"/>
      <c r="S135" s="747"/>
      <c r="T135" s="798"/>
      <c r="U135" s="798"/>
      <c r="V135" s="798"/>
      <c r="W135" s="798"/>
      <c r="X135" s="798"/>
      <c r="Y135" s="745"/>
      <c r="Z135" s="106"/>
      <c r="AA135" s="106"/>
      <c r="AB135" s="106"/>
      <c r="AC135" s="106"/>
      <c r="AD135" s="106"/>
      <c r="AE135" s="107"/>
      <c r="AF135" s="107"/>
      <c r="AG135" s="107"/>
      <c r="AH135" s="107"/>
      <c r="AI135" s="107"/>
      <c r="AJ135" s="107"/>
    </row>
    <row r="136" spans="1:36">
      <c r="A136" s="8" t="s">
        <v>45</v>
      </c>
      <c r="B136" s="748"/>
      <c r="C136" s="749"/>
      <c r="D136" s="782"/>
      <c r="E136" s="8"/>
      <c r="F136" s="8"/>
      <c r="G136" s="674"/>
      <c r="H136" s="674"/>
      <c r="I136" s="674"/>
      <c r="J136" s="674"/>
      <c r="K136" s="674"/>
      <c r="L136" s="674"/>
      <c r="M136" s="674"/>
      <c r="N136" s="736"/>
      <c r="O136" s="798"/>
      <c r="P136" s="798"/>
      <c r="Q136" s="745"/>
      <c r="R136" s="736"/>
      <c r="S136" s="737"/>
      <c r="T136" s="798"/>
      <c r="U136" s="798"/>
      <c r="V136" s="798"/>
      <c r="W136" s="798"/>
      <c r="X136" s="798"/>
      <c r="Y136" s="745"/>
      <c r="Z136" s="106"/>
      <c r="AA136" s="106"/>
      <c r="AB136" s="106"/>
      <c r="AC136" s="106"/>
      <c r="AD136" s="106"/>
      <c r="AE136" s="107"/>
      <c r="AF136" s="107"/>
      <c r="AG136" s="107"/>
      <c r="AH136" s="107"/>
      <c r="AI136" s="107"/>
      <c r="AJ136" s="107"/>
    </row>
    <row r="138" spans="1:36" ht="18.75" customHeight="1">
      <c r="I138" s="717" t="s">
        <v>332</v>
      </c>
      <c r="J138" s="717"/>
      <c r="K138" s="717"/>
      <c r="L138" s="717"/>
    </row>
    <row r="139" spans="1:36" ht="21.75" customHeight="1">
      <c r="A139" s="364" t="s">
        <v>190</v>
      </c>
      <c r="B139" s="1"/>
      <c r="C139" s="1"/>
      <c r="D139" s="1"/>
      <c r="E139" s="698" t="s">
        <v>92</v>
      </c>
      <c r="F139" s="699"/>
      <c r="G139" s="14"/>
      <c r="H139" s="700" t="s">
        <v>338</v>
      </c>
      <c r="I139" s="700"/>
      <c r="J139" s="700"/>
    </row>
    <row r="140" spans="1:36">
      <c r="A140" s="672" t="s">
        <v>68</v>
      </c>
      <c r="B140" s="675"/>
      <c r="C140" s="675"/>
      <c r="D140" s="675"/>
      <c r="E140" s="695" t="s">
        <v>69</v>
      </c>
      <c r="F140" s="695"/>
      <c r="G140" s="23"/>
      <c r="H140" s="710" t="s">
        <v>88</v>
      </c>
      <c r="I140" s="710"/>
      <c r="J140" s="710"/>
    </row>
  </sheetData>
  <mergeCells count="175">
    <mergeCell ref="I138:L138"/>
    <mergeCell ref="E139:F139"/>
    <mergeCell ref="H139:J139"/>
    <mergeCell ref="E140:F140"/>
    <mergeCell ref="H140:J140"/>
    <mergeCell ref="B135:D135"/>
    <mergeCell ref="N135:Q135"/>
    <mergeCell ref="R135:Y135"/>
    <mergeCell ref="B136:D136"/>
    <mergeCell ref="N136:Q136"/>
    <mergeCell ref="R136:Y136"/>
    <mergeCell ref="B133:D133"/>
    <mergeCell ref="N133:Q133"/>
    <mergeCell ref="R133:Y133"/>
    <mergeCell ref="B134:D134"/>
    <mergeCell ref="N134:Q134"/>
    <mergeCell ref="R134:Y134"/>
    <mergeCell ref="H130:H132"/>
    <mergeCell ref="I130:M130"/>
    <mergeCell ref="N130:Q132"/>
    <mergeCell ref="R130:Y132"/>
    <mergeCell ref="I131:I132"/>
    <mergeCell ref="J131:J132"/>
    <mergeCell ref="K131:M131"/>
    <mergeCell ref="B121:D121"/>
    <mergeCell ref="B122:D122"/>
    <mergeCell ref="B123:D123"/>
    <mergeCell ref="B124:D124"/>
    <mergeCell ref="F125:I125"/>
    <mergeCell ref="A130:A132"/>
    <mergeCell ref="B130:D132"/>
    <mergeCell ref="E130:E132"/>
    <mergeCell ref="F130:F132"/>
    <mergeCell ref="G130:G132"/>
    <mergeCell ref="B118:D118"/>
    <mergeCell ref="B119:D119"/>
    <mergeCell ref="B120:D120"/>
    <mergeCell ref="F116:I116"/>
    <mergeCell ref="J116:J117"/>
    <mergeCell ref="K116:N116"/>
    <mergeCell ref="O116:O117"/>
    <mergeCell ref="Q116:T116"/>
    <mergeCell ref="U116:U117"/>
    <mergeCell ref="A113:G113"/>
    <mergeCell ref="Z114:AF114"/>
    <mergeCell ref="A115:A117"/>
    <mergeCell ref="B115:D117"/>
    <mergeCell ref="E115:I115"/>
    <mergeCell ref="J115:N115"/>
    <mergeCell ref="O115:T115"/>
    <mergeCell ref="U115:AA115"/>
    <mergeCell ref="AB115:AF115"/>
    <mergeCell ref="E116:E117"/>
    <mergeCell ref="X116:AA116"/>
    <mergeCell ref="AB116:AB117"/>
    <mergeCell ref="AC116:AF116"/>
    <mergeCell ref="B105:D105"/>
    <mergeCell ref="B106:D106"/>
    <mergeCell ref="B107:D107"/>
    <mergeCell ref="B108:D108"/>
    <mergeCell ref="B109:D109"/>
    <mergeCell ref="B110:D110"/>
    <mergeCell ref="B98:D98"/>
    <mergeCell ref="A100:I100"/>
    <mergeCell ref="A102:A104"/>
    <mergeCell ref="B102:D104"/>
    <mergeCell ref="E102:E104"/>
    <mergeCell ref="F102:F104"/>
    <mergeCell ref="G102:G104"/>
    <mergeCell ref="H102:L102"/>
    <mergeCell ref="H103:H104"/>
    <mergeCell ref="I103:L103"/>
    <mergeCell ref="H91:L91"/>
    <mergeCell ref="B93:D93"/>
    <mergeCell ref="B94:D94"/>
    <mergeCell ref="B95:D95"/>
    <mergeCell ref="B96:D96"/>
    <mergeCell ref="B97:D97"/>
    <mergeCell ref="B83:D83"/>
    <mergeCell ref="B84:D84"/>
    <mergeCell ref="B85:D85"/>
    <mergeCell ref="B86:D86"/>
    <mergeCell ref="A89:K89"/>
    <mergeCell ref="A91:A92"/>
    <mergeCell ref="B91:D92"/>
    <mergeCell ref="E91:E92"/>
    <mergeCell ref="F91:F92"/>
    <mergeCell ref="G91:G92"/>
    <mergeCell ref="B77:D77"/>
    <mergeCell ref="B78:D78"/>
    <mergeCell ref="B79:D79"/>
    <mergeCell ref="B80:D80"/>
    <mergeCell ref="B81:D81"/>
    <mergeCell ref="B82:D82"/>
    <mergeCell ref="B75:D75"/>
    <mergeCell ref="E75:F75"/>
    <mergeCell ref="G75:H75"/>
    <mergeCell ref="I75:K75"/>
    <mergeCell ref="B76:D76"/>
    <mergeCell ref="E76:F76"/>
    <mergeCell ref="G76:H76"/>
    <mergeCell ref="I76:K76"/>
    <mergeCell ref="B69:D69"/>
    <mergeCell ref="I69:K69"/>
    <mergeCell ref="B70:D70"/>
    <mergeCell ref="I70:K70"/>
    <mergeCell ref="B71:D71"/>
    <mergeCell ref="I71:K71"/>
    <mergeCell ref="J42:K42"/>
    <mergeCell ref="B66:D66"/>
    <mergeCell ref="I66:K66"/>
    <mergeCell ref="B67:D67"/>
    <mergeCell ref="I67:K67"/>
    <mergeCell ref="B68:D68"/>
    <mergeCell ref="I68:K68"/>
    <mergeCell ref="H41:I41"/>
    <mergeCell ref="A42:A43"/>
    <mergeCell ref="B42:C42"/>
    <mergeCell ref="D42:E42"/>
    <mergeCell ref="F42:G42"/>
    <mergeCell ref="H42:I42"/>
    <mergeCell ref="F34:G34"/>
    <mergeCell ref="H34:I34"/>
    <mergeCell ref="F35:G35"/>
    <mergeCell ref="H35:I35"/>
    <mergeCell ref="F36:G36"/>
    <mergeCell ref="H36:I36"/>
    <mergeCell ref="F31:G31"/>
    <mergeCell ref="H31:I31"/>
    <mergeCell ref="F32:G32"/>
    <mergeCell ref="H32:I32"/>
    <mergeCell ref="F33:G33"/>
    <mergeCell ref="H33:I33"/>
    <mergeCell ref="F28:G28"/>
    <mergeCell ref="H28:I28"/>
    <mergeCell ref="F29:G29"/>
    <mergeCell ref="H29:I29"/>
    <mergeCell ref="F30:G30"/>
    <mergeCell ref="H30:I30"/>
    <mergeCell ref="F25:G25"/>
    <mergeCell ref="H25:I25"/>
    <mergeCell ref="F26:G26"/>
    <mergeCell ref="H26:I26"/>
    <mergeCell ref="F27:G27"/>
    <mergeCell ref="H27:I27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8:G18"/>
    <mergeCell ref="H18:I18"/>
    <mergeCell ref="F13:G13"/>
    <mergeCell ref="H13:I13"/>
    <mergeCell ref="F14:G14"/>
    <mergeCell ref="H14:I14"/>
    <mergeCell ref="F15:G15"/>
    <mergeCell ref="H15:I15"/>
    <mergeCell ref="F22:G22"/>
    <mergeCell ref="H22:I22"/>
    <mergeCell ref="A4:I4"/>
    <mergeCell ref="A5:I5"/>
    <mergeCell ref="A6:I6"/>
    <mergeCell ref="A7:I7"/>
    <mergeCell ref="F12:G12"/>
    <mergeCell ref="H12:I12"/>
    <mergeCell ref="F16:G16"/>
    <mergeCell ref="H16:I16"/>
    <mergeCell ref="F17:G17"/>
    <mergeCell ref="H17:I17"/>
  </mergeCells>
  <pageMargins left="0" right="0" top="0.78740157480314965" bottom="0" header="0.27559055118110237" footer="0.15748031496062992"/>
  <pageSetup paperSize="9" scale="55" fitToHeight="2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Фінплан - зведені показники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5. Інша інформація (2)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'3. Рух грошових коштів'!Область_печати</vt:lpstr>
      <vt:lpstr>'4. Кап. інвестиції'!Область_печати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Голубченко Анна</cp:lastModifiedBy>
  <cp:lastPrinted>2019-12-11T10:50:47Z</cp:lastPrinted>
  <dcterms:created xsi:type="dcterms:W3CDTF">2003-03-13T16:00:22Z</dcterms:created>
  <dcterms:modified xsi:type="dcterms:W3CDTF">2020-01-23T14:14:36Z</dcterms:modified>
</cp:coreProperties>
</file>